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defaultThemeVersion="166925"/>
  <mc:AlternateContent xmlns:mc="http://schemas.openxmlformats.org/markup-compatibility/2006">
    <mc:Choice Requires="x15">
      <x15ac:absPath xmlns:x15ac="http://schemas.microsoft.com/office/spreadsheetml/2010/11/ac" url="https://newmontmining-my.sharepoint.com/personal/abigail_lawes_newmont_com/Documents/Documents/DJSI/"/>
    </mc:Choice>
  </mc:AlternateContent>
  <xr:revisionPtr revIDLastSave="10" documentId="8_{500A9127-AA6B-4FCA-A445-6AC11191DA59}" xr6:coauthVersionLast="46" xr6:coauthVersionMax="46" xr10:uidLastSave="{1AC37D2D-0E55-4936-AA0B-6FB4B18A7CCD}"/>
  <workbookProtection workbookAlgorithmName="SHA-512" workbookHashValue="7gFOgSCfBCNrnJNT9rQg2GIPbKy/9Cyf6erAX7do0oJ1Dxy0AtQ08RxdU66CPveCozV+SJl9F8Xd1vUO8w4ffA==" workbookSaltValue="y8SCW36ZYbEb6PjGwf2pyg==" workbookSpinCount="100000" lockStructure="1"/>
  <bookViews>
    <workbookView xWindow="-120" yWindow="-120" windowWidth="29040" windowHeight="15840" tabRatio="656" xr2:uid="{00000000-000D-0000-FFFF-FFFF00000000}"/>
  </bookViews>
  <sheets>
    <sheet name="ABOUT THE ESG DATA TABLES" sheetId="47" r:id="rId1"/>
    <sheet name="Compliance-Significant Events" sheetId="2" r:id="rId2"/>
    <sheet name="Ethics-Anti-Corruption" sheetId="3" r:id="rId3"/>
    <sheet name="Policy Influence" sheetId="4" r:id="rId4"/>
    <sheet name="Air Quality" sheetId="6" r:id="rId5"/>
    <sheet name="Biodiversity" sheetId="7" r:id="rId6"/>
    <sheet name="Climate Change" sheetId="8" r:id="rId7"/>
    <sheet name="Closure and Reclamation" sheetId="9" r:id="rId8"/>
    <sheet name="Cyanide Management" sheetId="10" r:id="rId9"/>
    <sheet name="Environmental Expenditures" sheetId="48" r:id="rId10"/>
    <sheet name="Materials Consumption" sheetId="11" r:id="rId11"/>
    <sheet name="Spills and Releases" sheetId="12" r:id="rId12"/>
    <sheet name="Tailings Management" sheetId="13" r:id="rId13"/>
    <sheet name="Water Stewardship" sheetId="14" r:id="rId14"/>
    <sheet name="Waste" sheetId="15" r:id="rId15"/>
    <sheet name="COVID H&amp;S Stats" sheetId="17" r:id="rId16"/>
    <sheet name="Emergency Preparedness" sheetId="18" r:id="rId17"/>
    <sheet name="Safety and Health" sheetId="19" r:id="rId18"/>
    <sheet name="ASM" sheetId="21" r:id="rId19"/>
    <sheet name="Community Development" sheetId="22" r:id="rId20"/>
    <sheet name="Community Impacts" sheetId="23" r:id="rId21"/>
    <sheet name="Complaints and Grievances" sheetId="24" r:id="rId22"/>
    <sheet name="HumRts-Assessments" sheetId="25" r:id="rId23"/>
    <sheet name="HumRts-Supplier Screening" sheetId="26" r:id="rId24"/>
    <sheet name="HumRts-Training-Security" sheetId="27" r:id="rId25"/>
    <sheet name="HumRts-Training-Workforce" sheetId="28" r:id="rId26"/>
    <sheet name="HumRts-Indigenous Peoples" sheetId="29" r:id="rId27"/>
    <sheet name="Land or Resource Use Disputes" sheetId="30" r:id="rId28"/>
    <sheet name="Resettlement" sheetId="31" r:id="rId29"/>
    <sheet name="SIA and Engagement" sheetId="32" r:id="rId30"/>
    <sheet name="COVID Global Fund" sheetId="34" r:id="rId31"/>
    <sheet name="Community Investments" sheetId="35" r:id="rId32"/>
    <sheet name="Economic Value Gen-Distri" sheetId="36" r:id="rId33"/>
    <sheet name="Supply Chain Spending" sheetId="37" r:id="rId34"/>
    <sheet name="Tax Transparency" sheetId="38" r:id="rId35"/>
    <sheet name="Overview Workforce Demograph" sheetId="40" r:id="rId36"/>
    <sheet name="Compensation and Equal Remunera" sheetId="41" r:id="rId37"/>
    <sheet name="Diversity and Inclusion" sheetId="42" r:id="rId38"/>
    <sheet name="Labor-Mgmt Relations" sheetId="43" r:id="rId39"/>
    <sheet name="Talent Attraction and Retention" sheetId="44" r:id="rId40"/>
    <sheet name="Training and Professional Devel" sheetId="45" r:id="rId41"/>
    <sheet name="2020 Normalizing Denominators" sheetId="46" r:id="rId4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4" l="1"/>
  <c r="C19" i="24"/>
  <c r="C17" i="24"/>
  <c r="C15" i="24"/>
  <c r="C13" i="24"/>
  <c r="C9" i="24"/>
  <c r="C7" i="24"/>
  <c r="C4" i="24"/>
  <c r="AC19" i="3"/>
  <c r="C24" i="24" l="1"/>
  <c r="E4" i="46"/>
  <c r="E7" i="46"/>
  <c r="E9" i="46"/>
  <c r="E13" i="46"/>
  <c r="E15" i="46"/>
  <c r="E17" i="46"/>
  <c r="E19" i="46"/>
  <c r="E21" i="46"/>
  <c r="D14" i="46"/>
  <c r="D24" i="46" s="1"/>
  <c r="D22" i="46"/>
  <c r="AC4" i="37"/>
  <c r="AC7" i="37"/>
  <c r="AC9" i="37"/>
  <c r="AC13" i="37"/>
  <c r="AC15" i="37"/>
  <c r="AC17" i="37"/>
  <c r="AC19" i="37"/>
  <c r="AC21" i="37"/>
  <c r="AB4" i="37"/>
  <c r="AB7" i="37"/>
  <c r="AB9" i="37"/>
  <c r="AB13" i="37"/>
  <c r="AB15" i="37"/>
  <c r="AB17" i="37"/>
  <c r="AB19" i="37"/>
  <c r="AB21" i="37"/>
  <c r="AA4" i="37"/>
  <c r="AA7" i="37"/>
  <c r="AA9" i="37"/>
  <c r="AA13" i="37"/>
  <c r="AA15" i="37"/>
  <c r="AA17" i="37"/>
  <c r="AA19" i="37"/>
  <c r="AA21" i="37"/>
  <c r="Z4" i="37"/>
  <c r="Z7" i="37"/>
  <c r="Z9" i="37"/>
  <c r="Z13" i="37"/>
  <c r="Z15" i="37"/>
  <c r="Z17" i="37"/>
  <c r="Z19" i="37"/>
  <c r="Z21" i="37"/>
  <c r="Y4" i="37"/>
  <c r="Y7" i="37"/>
  <c r="Y9" i="37"/>
  <c r="Y13" i="37"/>
  <c r="Y15" i="37"/>
  <c r="Y17" i="37"/>
  <c r="Y19" i="37"/>
  <c r="Y21" i="37"/>
  <c r="H13" i="36"/>
  <c r="H12" i="36"/>
  <c r="H11" i="36"/>
  <c r="H10" i="36"/>
  <c r="H9" i="36"/>
  <c r="H8" i="36"/>
  <c r="H7" i="36"/>
  <c r="H6" i="36"/>
  <c r="H5" i="36"/>
  <c r="E24" i="35"/>
  <c r="E23" i="35"/>
  <c r="E20" i="35"/>
  <c r="D20" i="35"/>
  <c r="C20" i="35"/>
  <c r="E18" i="35"/>
  <c r="D18" i="35"/>
  <c r="C18" i="35"/>
  <c r="E17" i="35"/>
  <c r="E16" i="35"/>
  <c r="D16" i="35"/>
  <c r="C16" i="35"/>
  <c r="E15" i="35"/>
  <c r="E14" i="35" s="1"/>
  <c r="D14" i="35"/>
  <c r="C14" i="35"/>
  <c r="E13" i="35"/>
  <c r="E12" i="35"/>
  <c r="E11" i="35"/>
  <c r="E10" i="35"/>
  <c r="D9" i="35"/>
  <c r="C9" i="35"/>
  <c r="E7" i="35"/>
  <c r="D7" i="35"/>
  <c r="C7" i="35"/>
  <c r="G7" i="34"/>
  <c r="G6" i="34" s="1"/>
  <c r="G9" i="34"/>
  <c r="G10" i="34"/>
  <c r="G11" i="34"/>
  <c r="G13" i="34"/>
  <c r="G12" i="34" s="1"/>
  <c r="G14" i="34"/>
  <c r="G16" i="34"/>
  <c r="G17" i="34"/>
  <c r="G18" i="34"/>
  <c r="G19" i="34"/>
  <c r="G21" i="34"/>
  <c r="G20" i="34" s="1"/>
  <c r="G23" i="34"/>
  <c r="G24" i="34"/>
  <c r="G26" i="34"/>
  <c r="G25" i="34" s="1"/>
  <c r="G28" i="34"/>
  <c r="G27" i="34" s="1"/>
  <c r="G30" i="34"/>
  <c r="G29" i="34" s="1"/>
  <c r="G32" i="34"/>
  <c r="G33" i="34"/>
  <c r="G31" i="34" s="1"/>
  <c r="F6" i="34"/>
  <c r="F8" i="34"/>
  <c r="F12" i="34"/>
  <c r="F15" i="34"/>
  <c r="F20" i="34"/>
  <c r="F22" i="34"/>
  <c r="F25" i="34"/>
  <c r="F27" i="34"/>
  <c r="F29" i="34"/>
  <c r="F31" i="34"/>
  <c r="E6" i="34"/>
  <c r="E8" i="34"/>
  <c r="E12" i="34"/>
  <c r="E15" i="34"/>
  <c r="E20" i="34"/>
  <c r="E22" i="34"/>
  <c r="E25" i="34"/>
  <c r="E27" i="34"/>
  <c r="E29" i="34"/>
  <c r="E31" i="34"/>
  <c r="D6" i="34"/>
  <c r="D8" i="34"/>
  <c r="D12" i="34"/>
  <c r="D15" i="34"/>
  <c r="D20" i="34"/>
  <c r="D22" i="34"/>
  <c r="D25" i="34"/>
  <c r="D27" i="34"/>
  <c r="D29" i="34"/>
  <c r="D31" i="34"/>
  <c r="C6" i="34"/>
  <c r="C8" i="34"/>
  <c r="C12" i="34"/>
  <c r="C15" i="34"/>
  <c r="C20" i="34"/>
  <c r="C22" i="34"/>
  <c r="C25" i="34"/>
  <c r="C27" i="34"/>
  <c r="C29" i="34"/>
  <c r="C31" i="34"/>
  <c r="H6" i="27"/>
  <c r="H10" i="27"/>
  <c r="H14" i="27"/>
  <c r="H16" i="27"/>
  <c r="H18" i="27"/>
  <c r="H20" i="27"/>
  <c r="H22" i="27"/>
  <c r="H24" i="27"/>
  <c r="H26" i="27"/>
  <c r="G6" i="27"/>
  <c r="G10" i="27"/>
  <c r="G14" i="27"/>
  <c r="G16" i="27"/>
  <c r="G18" i="27"/>
  <c r="G20" i="27"/>
  <c r="G22" i="27"/>
  <c r="G24" i="27"/>
  <c r="G26" i="27"/>
  <c r="F6" i="27"/>
  <c r="F10" i="27"/>
  <c r="F14" i="27"/>
  <c r="F16" i="27"/>
  <c r="F18" i="27"/>
  <c r="F20" i="27"/>
  <c r="F22" i="27"/>
  <c r="F24" i="27"/>
  <c r="F26" i="27"/>
  <c r="E6" i="27"/>
  <c r="E10" i="27"/>
  <c r="E14" i="27"/>
  <c r="E16" i="27"/>
  <c r="E18" i="27"/>
  <c r="E20" i="27"/>
  <c r="E22" i="27"/>
  <c r="E24" i="27"/>
  <c r="E26" i="27"/>
  <c r="D6" i="27"/>
  <c r="D10" i="27"/>
  <c r="D14" i="27"/>
  <c r="D16" i="27"/>
  <c r="D18" i="27"/>
  <c r="D20" i="27"/>
  <c r="D22" i="27"/>
  <c r="D24" i="27"/>
  <c r="D26" i="27"/>
  <c r="C6" i="27"/>
  <c r="C10" i="27"/>
  <c r="C14" i="27"/>
  <c r="C16" i="27"/>
  <c r="C18" i="27"/>
  <c r="C20" i="27"/>
  <c r="C22" i="27"/>
  <c r="C24" i="27"/>
  <c r="C26" i="27"/>
  <c r="G38" i="24"/>
  <c r="H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I11" i="24"/>
  <c r="I10" i="24"/>
  <c r="I9" i="24"/>
  <c r="I8" i="24"/>
  <c r="I7" i="24"/>
  <c r="I6" i="24"/>
  <c r="I5" i="24"/>
  <c r="I4" i="24"/>
  <c r="AJ42" i="19"/>
  <c r="Q42" i="19"/>
  <c r="AJ40" i="19"/>
  <c r="BJ40" i="19" s="1"/>
  <c r="Q40" i="19"/>
  <c r="AJ38" i="19"/>
  <c r="Q38" i="19"/>
  <c r="AJ36" i="19"/>
  <c r="BJ36" i="19" s="1"/>
  <c r="Q36" i="19"/>
  <c r="AJ34" i="19"/>
  <c r="Q34" i="19"/>
  <c r="AJ31" i="19"/>
  <c r="Q31" i="19"/>
  <c r="BJ31" i="19" s="1"/>
  <c r="AJ29" i="19"/>
  <c r="Q29" i="19"/>
  <c r="AJ23" i="19"/>
  <c r="BJ23" i="19" s="1"/>
  <c r="Q23" i="19"/>
  <c r="AJ17" i="19"/>
  <c r="Q17" i="19"/>
  <c r="AJ10" i="19"/>
  <c r="Q10" i="19"/>
  <c r="AJ4" i="19"/>
  <c r="Q4" i="19"/>
  <c r="BJ4" i="19" s="1"/>
  <c r="AC42" i="19"/>
  <c r="J42" i="19"/>
  <c r="AC40" i="19"/>
  <c r="J40" i="19"/>
  <c r="AC38" i="19"/>
  <c r="J38" i="19"/>
  <c r="AC36" i="19"/>
  <c r="J36" i="19"/>
  <c r="AC34" i="19"/>
  <c r="J34" i="19"/>
  <c r="AC31" i="19"/>
  <c r="BC31" i="19" s="1"/>
  <c r="J31" i="19"/>
  <c r="AC29" i="19"/>
  <c r="J29" i="19"/>
  <c r="AC23" i="19"/>
  <c r="BC23" i="19" s="1"/>
  <c r="J23" i="19"/>
  <c r="R23" i="19" s="1"/>
  <c r="AC17" i="19"/>
  <c r="J17" i="19"/>
  <c r="AC10" i="19"/>
  <c r="J10" i="19"/>
  <c r="AC4" i="19"/>
  <c r="J4" i="19"/>
  <c r="AE42" i="19"/>
  <c r="L42" i="19"/>
  <c r="AE40" i="19"/>
  <c r="L40" i="19"/>
  <c r="AE38" i="19"/>
  <c r="BE38" i="19" s="1"/>
  <c r="L38" i="19"/>
  <c r="AE36" i="19"/>
  <c r="L36" i="19"/>
  <c r="AE34" i="19"/>
  <c r="L34" i="19"/>
  <c r="AE31" i="19"/>
  <c r="L31" i="19"/>
  <c r="AE29" i="19"/>
  <c r="L29" i="19"/>
  <c r="AE23" i="19"/>
  <c r="L23" i="19"/>
  <c r="BE23" i="19" s="1"/>
  <c r="AE17" i="19"/>
  <c r="L17" i="19"/>
  <c r="AE10" i="19"/>
  <c r="L10" i="19"/>
  <c r="AE4" i="19"/>
  <c r="L4" i="19"/>
  <c r="BE4" i="19" s="1"/>
  <c r="AF42" i="19"/>
  <c r="M42" i="19"/>
  <c r="AF40" i="19"/>
  <c r="M40" i="19"/>
  <c r="AF38" i="19"/>
  <c r="M38" i="19"/>
  <c r="AF36" i="19"/>
  <c r="M36" i="19"/>
  <c r="AF34" i="19"/>
  <c r="M34" i="19"/>
  <c r="AF31" i="19"/>
  <c r="M31" i="19"/>
  <c r="AF29" i="19"/>
  <c r="M29" i="19"/>
  <c r="AF23" i="19"/>
  <c r="M23" i="19"/>
  <c r="AF17" i="19"/>
  <c r="M17" i="19"/>
  <c r="AF10" i="19"/>
  <c r="M10" i="19"/>
  <c r="AF4" i="19"/>
  <c r="M4" i="19"/>
  <c r="AG42" i="19"/>
  <c r="N42" i="19"/>
  <c r="AG40" i="19"/>
  <c r="BG40" i="19" s="1"/>
  <c r="N40" i="19"/>
  <c r="AG38" i="19"/>
  <c r="N38" i="19"/>
  <c r="AG36" i="19"/>
  <c r="N36" i="19"/>
  <c r="AG34" i="19"/>
  <c r="N34" i="19"/>
  <c r="AG31" i="19"/>
  <c r="BG31" i="19" s="1"/>
  <c r="N31" i="19"/>
  <c r="AG29" i="19"/>
  <c r="N29" i="19"/>
  <c r="AG23" i="19"/>
  <c r="BG23" i="19" s="1"/>
  <c r="N23" i="19"/>
  <c r="AG17" i="19"/>
  <c r="BG17" i="19" s="1"/>
  <c r="N17" i="19"/>
  <c r="AG10" i="19"/>
  <c r="N10" i="19"/>
  <c r="AG4" i="19"/>
  <c r="N4" i="19"/>
  <c r="BJ44" i="19"/>
  <c r="BC44" i="19"/>
  <c r="BE44" i="19"/>
  <c r="BF44" i="19"/>
  <c r="BG44" i="19"/>
  <c r="AK44" i="19"/>
  <c r="AI44" i="19"/>
  <c r="AH44" i="19"/>
  <c r="R44" i="19"/>
  <c r="P44" i="19"/>
  <c r="O44" i="19"/>
  <c r="BJ43" i="19"/>
  <c r="BC43" i="19"/>
  <c r="BK43" i="19" s="1"/>
  <c r="BE43" i="19"/>
  <c r="BF43" i="19"/>
  <c r="BG43" i="19"/>
  <c r="AK43" i="19"/>
  <c r="AI43" i="19"/>
  <c r="AH43" i="19"/>
  <c r="R43" i="19"/>
  <c r="P43" i="19"/>
  <c r="O43" i="19"/>
  <c r="AK42" i="19"/>
  <c r="AI42" i="19"/>
  <c r="BJ41" i="19"/>
  <c r="BC41" i="19"/>
  <c r="BE41" i="19"/>
  <c r="BF41" i="19"/>
  <c r="BG41" i="19"/>
  <c r="AK41" i="19"/>
  <c r="AK40" i="19" s="1"/>
  <c r="AI41" i="19"/>
  <c r="AI40" i="19" s="1"/>
  <c r="AH41" i="19"/>
  <c r="AH40" i="19" s="1"/>
  <c r="R40" i="19"/>
  <c r="P40" i="19"/>
  <c r="O40" i="19"/>
  <c r="BJ39" i="19"/>
  <c r="BC39" i="19"/>
  <c r="BE39" i="19"/>
  <c r="BF39" i="19"/>
  <c r="BG39" i="19"/>
  <c r="AK39" i="19"/>
  <c r="AK38" i="19" s="1"/>
  <c r="AI39" i="19"/>
  <c r="AI38" i="19" s="1"/>
  <c r="AH39" i="19"/>
  <c r="AH38" i="19" s="1"/>
  <c r="R39" i="19"/>
  <c r="P39" i="19"/>
  <c r="O39" i="19"/>
  <c r="BJ37" i="19"/>
  <c r="BC37" i="19"/>
  <c r="BE37" i="19"/>
  <c r="BF37" i="19"/>
  <c r="BG37" i="19"/>
  <c r="AK37" i="19"/>
  <c r="AK36" i="19" s="1"/>
  <c r="AI37" i="19"/>
  <c r="AI36" i="19" s="1"/>
  <c r="AH37" i="19"/>
  <c r="AH36" i="19" s="1"/>
  <c r="R37" i="19"/>
  <c r="R36" i="19" s="1"/>
  <c r="P37" i="19"/>
  <c r="P36" i="19" s="1"/>
  <c r="O37" i="19"/>
  <c r="O36" i="19"/>
  <c r="BJ35" i="19"/>
  <c r="BC35" i="19"/>
  <c r="BE35" i="19"/>
  <c r="BF35" i="19"/>
  <c r="BG35" i="19"/>
  <c r="AK35" i="19"/>
  <c r="AK34" i="19" s="1"/>
  <c r="AI35" i="19"/>
  <c r="AI34" i="19" s="1"/>
  <c r="AH35" i="19"/>
  <c r="AH34" i="19" s="1"/>
  <c r="R35" i="19"/>
  <c r="R34" i="19" s="1"/>
  <c r="P35" i="19"/>
  <c r="P34" i="19" s="1"/>
  <c r="O35" i="19"/>
  <c r="O34" i="19" s="1"/>
  <c r="BJ33" i="19"/>
  <c r="BG33" i="19"/>
  <c r="BF33" i="19"/>
  <c r="BE33" i="19"/>
  <c r="BC33" i="19"/>
  <c r="BJ32" i="19"/>
  <c r="BC32" i="19"/>
  <c r="BE32" i="19"/>
  <c r="BF32" i="19"/>
  <c r="BG32" i="19"/>
  <c r="AK32" i="19"/>
  <c r="AI32" i="19"/>
  <c r="AH32" i="19"/>
  <c r="R32" i="19"/>
  <c r="P32" i="19"/>
  <c r="O32" i="19"/>
  <c r="BS27" i="19"/>
  <c r="BS25" i="19"/>
  <c r="BS23" i="19"/>
  <c r="BS19" i="19"/>
  <c r="BS14" i="19"/>
  <c r="BS10" i="19"/>
  <c r="BS6" i="19"/>
  <c r="BR27" i="19"/>
  <c r="BR25" i="19"/>
  <c r="BR23" i="19"/>
  <c r="BR19" i="19"/>
  <c r="BR14" i="19"/>
  <c r="BR10" i="19"/>
  <c r="BR6" i="19"/>
  <c r="BQ27" i="19"/>
  <c r="BQ25" i="19"/>
  <c r="BQ23" i="19"/>
  <c r="BQ19" i="19"/>
  <c r="BQ14" i="19"/>
  <c r="BQ10" i="19"/>
  <c r="BQ6" i="19"/>
  <c r="BP27" i="19"/>
  <c r="BP25" i="19"/>
  <c r="BP23" i="19"/>
  <c r="BP19" i="19"/>
  <c r="BP14" i="19"/>
  <c r="BP10" i="19"/>
  <c r="BP6" i="19"/>
  <c r="BO27" i="19"/>
  <c r="BO25" i="19"/>
  <c r="BO23" i="19"/>
  <c r="BO19" i="19"/>
  <c r="BO14" i="19"/>
  <c r="BO10" i="19"/>
  <c r="BO6" i="19"/>
  <c r="BN27" i="19"/>
  <c r="BN25" i="19"/>
  <c r="BN23" i="19"/>
  <c r="BN19" i="19"/>
  <c r="BN14" i="19"/>
  <c r="BN10" i="19"/>
  <c r="BN6" i="19"/>
  <c r="AK31" i="19"/>
  <c r="BJ30" i="19"/>
  <c r="BC30" i="19"/>
  <c r="BI30" i="19" s="1"/>
  <c r="BE30" i="19"/>
  <c r="BF30" i="19"/>
  <c r="BG30" i="19"/>
  <c r="AK30" i="19"/>
  <c r="AK29" i="19" s="1"/>
  <c r="AI30" i="19"/>
  <c r="AI29" i="19" s="1"/>
  <c r="AH30" i="19"/>
  <c r="AH29" i="19" s="1"/>
  <c r="R30" i="19"/>
  <c r="R29" i="19" s="1"/>
  <c r="P30" i="19"/>
  <c r="P29" i="19" s="1"/>
  <c r="O30" i="19"/>
  <c r="O29" i="19" s="1"/>
  <c r="BJ28" i="19"/>
  <c r="BC28" i="19"/>
  <c r="BE28" i="19"/>
  <c r="BF28" i="19"/>
  <c r="BG28" i="19"/>
  <c r="AK28" i="19"/>
  <c r="AI28" i="19"/>
  <c r="AH28" i="19"/>
  <c r="R28" i="19"/>
  <c r="P28" i="19"/>
  <c r="O28" i="19"/>
  <c r="BJ27" i="19"/>
  <c r="BC27" i="19"/>
  <c r="BE27" i="19"/>
  <c r="BF27" i="19"/>
  <c r="BG27" i="19"/>
  <c r="AK27" i="19"/>
  <c r="AI27" i="19"/>
  <c r="AH27" i="19"/>
  <c r="R27" i="19"/>
  <c r="P27" i="19"/>
  <c r="O27" i="19"/>
  <c r="BJ26" i="19"/>
  <c r="BC26" i="19"/>
  <c r="BE26" i="19"/>
  <c r="BF26" i="19"/>
  <c r="BG26" i="19"/>
  <c r="AK26" i="19"/>
  <c r="AI26" i="19"/>
  <c r="AH26" i="19"/>
  <c r="R26" i="19"/>
  <c r="P26" i="19"/>
  <c r="O26" i="19"/>
  <c r="BJ25" i="19"/>
  <c r="BC25" i="19"/>
  <c r="BE25" i="19"/>
  <c r="BF25" i="19"/>
  <c r="BG25" i="19"/>
  <c r="AK25" i="19"/>
  <c r="AI25" i="19"/>
  <c r="AH25" i="19"/>
  <c r="R25" i="19"/>
  <c r="P25" i="19"/>
  <c r="O25" i="19"/>
  <c r="BJ24" i="19"/>
  <c r="BK24" i="19" s="1"/>
  <c r="BC24" i="19"/>
  <c r="BE24" i="19"/>
  <c r="BF24" i="19"/>
  <c r="BG24" i="19"/>
  <c r="BH24" i="19" s="1"/>
  <c r="AK24" i="19"/>
  <c r="AI24" i="19"/>
  <c r="AH24" i="19"/>
  <c r="R24" i="19"/>
  <c r="P24" i="19"/>
  <c r="O24" i="19"/>
  <c r="BJ22" i="19"/>
  <c r="BC22" i="19"/>
  <c r="BE22" i="19"/>
  <c r="BF22" i="19"/>
  <c r="BG22" i="19"/>
  <c r="AK22" i="19"/>
  <c r="AI22" i="19"/>
  <c r="AH22" i="19"/>
  <c r="R22" i="19"/>
  <c r="P22" i="19"/>
  <c r="O22" i="19"/>
  <c r="BS21" i="19"/>
  <c r="BR21" i="19"/>
  <c r="BQ21" i="19"/>
  <c r="BP21" i="19"/>
  <c r="BO21" i="19"/>
  <c r="BN21" i="19"/>
  <c r="BJ21" i="19"/>
  <c r="BC21" i="19"/>
  <c r="BE21" i="19"/>
  <c r="BF21" i="19"/>
  <c r="BG21" i="19"/>
  <c r="R21" i="19"/>
  <c r="P21" i="19"/>
  <c r="O21" i="19"/>
  <c r="BJ20" i="19"/>
  <c r="BC20" i="19"/>
  <c r="BE20" i="19"/>
  <c r="BF20" i="19"/>
  <c r="BG20" i="19"/>
  <c r="AK20" i="19"/>
  <c r="AI20" i="19"/>
  <c r="AH20" i="19"/>
  <c r="R20" i="19"/>
  <c r="P20" i="19"/>
  <c r="O20" i="19"/>
  <c r="BJ19" i="19"/>
  <c r="BC19" i="19"/>
  <c r="BE19" i="19"/>
  <c r="BF19" i="19"/>
  <c r="BG19" i="19"/>
  <c r="AK19" i="19"/>
  <c r="AI19" i="19"/>
  <c r="AH19" i="19"/>
  <c r="R19" i="19"/>
  <c r="P19" i="19"/>
  <c r="O19" i="19"/>
  <c r="BJ18" i="19"/>
  <c r="BC18" i="19"/>
  <c r="BE18" i="19"/>
  <c r="BF18" i="19"/>
  <c r="BG18" i="19"/>
  <c r="AK18" i="19"/>
  <c r="AI18" i="19"/>
  <c r="AH18" i="19"/>
  <c r="R18" i="19"/>
  <c r="P18" i="19"/>
  <c r="O18" i="19"/>
  <c r="BJ16" i="19"/>
  <c r="BK16" i="19" s="1"/>
  <c r="BC16" i="19"/>
  <c r="BE16" i="19"/>
  <c r="BF16" i="19"/>
  <c r="BG16" i="19"/>
  <c r="AK16" i="19"/>
  <c r="AI16" i="19"/>
  <c r="AH16" i="19"/>
  <c r="R16" i="19"/>
  <c r="P16" i="19"/>
  <c r="O16" i="19"/>
  <c r="BJ15" i="19"/>
  <c r="BK15" i="19" s="1"/>
  <c r="BC15" i="19"/>
  <c r="BE15" i="19"/>
  <c r="BF15" i="19"/>
  <c r="BG15" i="19"/>
  <c r="AK15" i="19"/>
  <c r="AI15" i="19"/>
  <c r="AH15" i="19"/>
  <c r="R15" i="19"/>
  <c r="P15" i="19"/>
  <c r="O15" i="19"/>
  <c r="BJ14" i="19"/>
  <c r="BC14" i="19"/>
  <c r="BE14" i="19"/>
  <c r="BF14" i="19"/>
  <c r="BG14" i="19"/>
  <c r="AK14" i="19"/>
  <c r="AI14" i="19"/>
  <c r="AH14" i="19"/>
  <c r="R14" i="19"/>
  <c r="P14" i="19"/>
  <c r="O14" i="19"/>
  <c r="BJ13" i="19"/>
  <c r="BC13" i="19"/>
  <c r="BE13" i="19"/>
  <c r="BF13" i="19"/>
  <c r="BG13" i="19"/>
  <c r="AK13" i="19"/>
  <c r="AI13" i="19"/>
  <c r="AH13" i="19"/>
  <c r="R13" i="19"/>
  <c r="P13" i="19"/>
  <c r="O13" i="19"/>
  <c r="BJ12" i="19"/>
  <c r="BK12" i="19" s="1"/>
  <c r="BC12" i="19"/>
  <c r="BE12" i="19"/>
  <c r="BF12" i="19"/>
  <c r="BG12" i="19"/>
  <c r="AK12" i="19"/>
  <c r="AI12" i="19"/>
  <c r="AH12" i="19"/>
  <c r="R12" i="19"/>
  <c r="P12" i="19"/>
  <c r="O12" i="19"/>
  <c r="BJ11" i="19"/>
  <c r="BC11" i="19"/>
  <c r="BE11" i="19"/>
  <c r="BF11" i="19"/>
  <c r="BG11" i="19"/>
  <c r="AK11" i="19"/>
  <c r="AI11" i="19"/>
  <c r="AH11" i="19"/>
  <c r="R11" i="19"/>
  <c r="P11" i="19"/>
  <c r="O11" i="19"/>
  <c r="BJ9" i="19"/>
  <c r="BC9" i="19"/>
  <c r="BE9" i="19"/>
  <c r="BF9" i="19"/>
  <c r="BG9" i="19"/>
  <c r="AK9" i="19"/>
  <c r="AI9" i="19"/>
  <c r="AH9" i="19"/>
  <c r="R9" i="19"/>
  <c r="P9" i="19"/>
  <c r="O9" i="19"/>
  <c r="BJ8" i="19"/>
  <c r="BC8" i="19"/>
  <c r="BE8" i="19"/>
  <c r="BF8" i="19"/>
  <c r="BG8" i="19"/>
  <c r="AK8" i="19"/>
  <c r="AI8" i="19"/>
  <c r="AH8" i="19"/>
  <c r="R8" i="19"/>
  <c r="P8" i="19"/>
  <c r="O8" i="19"/>
  <c r="BJ7" i="19"/>
  <c r="BC7" i="19"/>
  <c r="BE7" i="19"/>
  <c r="BF7" i="19"/>
  <c r="BG7" i="19"/>
  <c r="AK7" i="19"/>
  <c r="AI7" i="19"/>
  <c r="AH7" i="19"/>
  <c r="R7" i="19"/>
  <c r="P7" i="19"/>
  <c r="O7" i="19"/>
  <c r="BJ6" i="19"/>
  <c r="BK6" i="19" s="1"/>
  <c r="BC6" i="19"/>
  <c r="BE6" i="19"/>
  <c r="BF6" i="19"/>
  <c r="BG6" i="19"/>
  <c r="BH6" i="19" s="1"/>
  <c r="AK6" i="19"/>
  <c r="AI6" i="19"/>
  <c r="AH6" i="19"/>
  <c r="R6" i="19"/>
  <c r="P6" i="19"/>
  <c r="O6" i="19"/>
  <c r="BJ5" i="19"/>
  <c r="BC5" i="19"/>
  <c r="AK5" i="19"/>
  <c r="AI5" i="19"/>
  <c r="AH5" i="19"/>
  <c r="R5" i="19"/>
  <c r="P5" i="19"/>
  <c r="O5" i="19"/>
  <c r="D14" i="18"/>
  <c r="C14" i="18"/>
  <c r="BP6" i="15"/>
  <c r="BP7" i="15"/>
  <c r="BP9" i="15"/>
  <c r="BP8" i="15" s="1"/>
  <c r="BP11" i="15"/>
  <c r="BP12" i="15"/>
  <c r="BP13" i="15"/>
  <c r="BP15" i="15"/>
  <c r="BP14" i="15" s="1"/>
  <c r="BP17" i="15"/>
  <c r="BP16" i="15" s="1"/>
  <c r="BP19" i="15"/>
  <c r="BP18" i="15" s="1"/>
  <c r="BP21" i="15"/>
  <c r="BP20" i="15" s="1"/>
  <c r="BP23" i="15"/>
  <c r="BP22" i="15" s="1"/>
  <c r="BP24" i="15"/>
  <c r="BO5" i="15"/>
  <c r="BO8" i="15"/>
  <c r="BO10" i="15"/>
  <c r="BO14" i="15"/>
  <c r="BO16" i="15"/>
  <c r="BO18" i="15"/>
  <c r="BO20" i="15"/>
  <c r="BO22" i="15"/>
  <c r="BN5" i="15"/>
  <c r="BN8" i="15"/>
  <c r="BN10" i="15"/>
  <c r="BN14" i="15"/>
  <c r="BN16" i="15"/>
  <c r="BN18" i="15"/>
  <c r="BN20" i="15"/>
  <c r="BN22" i="15"/>
  <c r="BM5" i="15"/>
  <c r="BM8" i="15"/>
  <c r="BM10" i="15"/>
  <c r="BM14" i="15"/>
  <c r="BM16" i="15"/>
  <c r="BM18" i="15"/>
  <c r="BM20" i="15"/>
  <c r="BM22" i="15"/>
  <c r="BL5" i="15"/>
  <c r="BL8" i="15"/>
  <c r="BL10" i="15"/>
  <c r="BL14" i="15"/>
  <c r="BL16" i="15"/>
  <c r="BL18" i="15"/>
  <c r="BL20" i="15"/>
  <c r="BL22" i="15"/>
  <c r="BK5" i="15"/>
  <c r="BK8" i="15"/>
  <c r="BK10" i="15"/>
  <c r="BK14" i="15"/>
  <c r="BK16" i="15"/>
  <c r="BK18" i="15"/>
  <c r="BK20" i="15"/>
  <c r="BK22" i="15"/>
  <c r="BJ5" i="15"/>
  <c r="BJ8" i="15"/>
  <c r="BJ10" i="15"/>
  <c r="BJ14" i="15"/>
  <c r="BJ16" i="15"/>
  <c r="BJ18" i="15"/>
  <c r="BJ20" i="15"/>
  <c r="BJ22" i="15"/>
  <c r="BI5" i="15"/>
  <c r="BI8" i="15"/>
  <c r="BI10" i="15"/>
  <c r="BI14" i="15"/>
  <c r="BI16" i="15"/>
  <c r="BI18" i="15"/>
  <c r="BI20" i="15"/>
  <c r="BI22" i="15"/>
  <c r="BH5" i="15"/>
  <c r="BH8" i="15"/>
  <c r="BH10" i="15"/>
  <c r="BH14" i="15"/>
  <c r="BH16" i="15"/>
  <c r="BH18" i="15"/>
  <c r="BH20" i="15"/>
  <c r="BH22" i="15"/>
  <c r="BG5" i="15"/>
  <c r="BG8" i="15"/>
  <c r="BG10" i="15"/>
  <c r="BG14" i="15"/>
  <c r="BG16" i="15"/>
  <c r="BG18" i="15"/>
  <c r="BG20" i="15"/>
  <c r="BG22" i="15"/>
  <c r="BF5" i="15"/>
  <c r="BF8" i="15"/>
  <c r="BF10" i="15"/>
  <c r="BF14" i="15"/>
  <c r="BF16" i="15"/>
  <c r="BF18" i="15"/>
  <c r="BF20" i="15"/>
  <c r="BF22" i="15"/>
  <c r="BB6" i="15"/>
  <c r="BB7" i="15"/>
  <c r="BB5" i="15"/>
  <c r="BB9" i="15"/>
  <c r="BB8" i="15" s="1"/>
  <c r="BB11" i="15"/>
  <c r="BB12" i="15"/>
  <c r="BB13" i="15"/>
  <c r="BB15" i="15"/>
  <c r="BB14" i="15" s="1"/>
  <c r="BB17" i="15"/>
  <c r="BB16" i="15" s="1"/>
  <c r="BB19" i="15"/>
  <c r="BB18" i="15" s="1"/>
  <c r="BB21" i="15"/>
  <c r="BB20" i="15" s="1"/>
  <c r="BB23" i="15"/>
  <c r="BB24" i="15"/>
  <c r="BA5" i="15"/>
  <c r="BA8" i="15"/>
  <c r="BA10" i="15"/>
  <c r="BA14" i="15"/>
  <c r="BA16" i="15"/>
  <c r="BA18" i="15"/>
  <c r="BA20" i="15"/>
  <c r="BA22" i="15"/>
  <c r="AZ5" i="15"/>
  <c r="AZ8" i="15"/>
  <c r="AZ10" i="15"/>
  <c r="AZ14" i="15"/>
  <c r="AZ16" i="15"/>
  <c r="AZ18" i="15"/>
  <c r="AZ20" i="15"/>
  <c r="AZ22" i="15"/>
  <c r="AY5" i="15"/>
  <c r="AY8" i="15"/>
  <c r="AY10" i="15"/>
  <c r="AY14" i="15"/>
  <c r="AY16" i="15"/>
  <c r="AY18" i="15"/>
  <c r="AY20" i="15"/>
  <c r="AY22" i="15"/>
  <c r="AX5" i="15"/>
  <c r="AX8" i="15"/>
  <c r="AX10" i="15"/>
  <c r="AX14" i="15"/>
  <c r="AX16" i="15"/>
  <c r="AX18" i="15"/>
  <c r="AX20" i="15"/>
  <c r="AX22" i="15"/>
  <c r="AW5" i="15"/>
  <c r="AW8" i="15"/>
  <c r="AW10" i="15"/>
  <c r="AW14" i="15"/>
  <c r="AW16" i="15"/>
  <c r="AW18" i="15"/>
  <c r="AW20" i="15"/>
  <c r="AW22" i="15"/>
  <c r="AV5" i="15"/>
  <c r="AV8" i="15"/>
  <c r="AV10" i="15"/>
  <c r="AV14" i="15"/>
  <c r="AV16" i="15"/>
  <c r="AV18" i="15"/>
  <c r="AV20" i="15"/>
  <c r="AV22" i="15"/>
  <c r="AU5" i="15"/>
  <c r="AU8" i="15"/>
  <c r="AU10" i="15"/>
  <c r="AU14" i="15"/>
  <c r="AU16" i="15"/>
  <c r="AU18" i="15"/>
  <c r="AU20" i="15"/>
  <c r="AU22" i="15"/>
  <c r="AT5" i="15"/>
  <c r="AT8" i="15"/>
  <c r="AT10" i="15"/>
  <c r="AT14" i="15"/>
  <c r="AT16" i="15"/>
  <c r="AT18" i="15"/>
  <c r="AT20" i="15"/>
  <c r="AT22" i="15"/>
  <c r="AS5" i="15"/>
  <c r="AS8" i="15"/>
  <c r="AS10" i="15"/>
  <c r="AS14" i="15"/>
  <c r="AS16" i="15"/>
  <c r="AS18" i="15"/>
  <c r="AS20" i="15"/>
  <c r="AS22" i="15"/>
  <c r="AR5" i="15"/>
  <c r="AR8" i="15"/>
  <c r="AR10" i="15"/>
  <c r="AR14" i="15"/>
  <c r="AR16" i="15"/>
  <c r="AR18" i="15"/>
  <c r="AR20" i="15"/>
  <c r="AR22" i="15"/>
  <c r="AN6" i="15"/>
  <c r="AN7" i="15"/>
  <c r="AN9" i="15"/>
  <c r="AN8" i="15" s="1"/>
  <c r="AN11" i="15"/>
  <c r="AN12" i="15"/>
  <c r="AN13" i="15"/>
  <c r="AN15" i="15"/>
  <c r="AN14" i="15" s="1"/>
  <c r="AN17" i="15"/>
  <c r="AN16" i="15" s="1"/>
  <c r="AN19" i="15"/>
  <c r="AN18" i="15" s="1"/>
  <c r="AN21" i="15"/>
  <c r="AN20" i="15" s="1"/>
  <c r="AN23" i="15"/>
  <c r="AN24" i="15"/>
  <c r="AM5" i="15"/>
  <c r="AM8" i="15"/>
  <c r="AM10" i="15"/>
  <c r="AM14" i="15"/>
  <c r="AM16" i="15"/>
  <c r="AM18" i="15"/>
  <c r="AM20" i="15"/>
  <c r="AM22" i="15"/>
  <c r="AL5" i="15"/>
  <c r="AL8" i="15"/>
  <c r="AL10" i="15"/>
  <c r="AL14" i="15"/>
  <c r="AL16" i="15"/>
  <c r="AL18" i="15"/>
  <c r="AL20" i="15"/>
  <c r="AL22" i="15"/>
  <c r="AK5" i="15"/>
  <c r="AK8" i="15"/>
  <c r="AK10" i="15"/>
  <c r="AK14" i="15"/>
  <c r="AK16" i="15"/>
  <c r="AK18" i="15"/>
  <c r="AK20" i="15"/>
  <c r="AK22" i="15"/>
  <c r="AJ5" i="15"/>
  <c r="AJ8" i="15"/>
  <c r="AJ10" i="15"/>
  <c r="AJ14" i="15"/>
  <c r="AJ16" i="15"/>
  <c r="AJ18" i="15"/>
  <c r="AJ20" i="15"/>
  <c r="AJ22" i="15"/>
  <c r="AI5" i="15"/>
  <c r="AI8" i="15"/>
  <c r="AI10" i="15"/>
  <c r="AI14" i="15"/>
  <c r="AI16" i="15"/>
  <c r="AI18" i="15"/>
  <c r="AI20" i="15"/>
  <c r="AI22" i="15"/>
  <c r="AH5" i="15"/>
  <c r="AH8" i="15"/>
  <c r="AH10" i="15"/>
  <c r="AH14" i="15"/>
  <c r="AH16" i="15"/>
  <c r="AH18" i="15"/>
  <c r="AH20" i="15"/>
  <c r="AH22" i="15"/>
  <c r="AD6" i="15"/>
  <c r="AD7" i="15"/>
  <c r="AD9" i="15"/>
  <c r="AD8" i="15" s="1"/>
  <c r="AD11" i="15"/>
  <c r="AD10" i="15" s="1"/>
  <c r="AD12" i="15"/>
  <c r="AD13" i="15"/>
  <c r="AD15" i="15"/>
  <c r="AD14" i="15" s="1"/>
  <c r="AD17" i="15"/>
  <c r="AD16" i="15" s="1"/>
  <c r="AD19" i="15"/>
  <c r="AD18" i="15" s="1"/>
  <c r="AD21" i="15"/>
  <c r="AD20" i="15" s="1"/>
  <c r="AD23" i="15"/>
  <c r="AD24" i="15"/>
  <c r="AC5" i="15"/>
  <c r="AC8" i="15"/>
  <c r="AC10" i="15"/>
  <c r="AC14" i="15"/>
  <c r="AC16" i="15"/>
  <c r="AC18" i="15"/>
  <c r="AC20" i="15"/>
  <c r="AC22" i="15"/>
  <c r="AB5" i="15"/>
  <c r="AB8" i="15"/>
  <c r="AB10" i="15"/>
  <c r="AB14" i="15"/>
  <c r="AB16" i="15"/>
  <c r="AB18" i="15"/>
  <c r="AB20" i="15"/>
  <c r="AB22" i="15"/>
  <c r="AA5" i="15"/>
  <c r="AA8" i="15"/>
  <c r="AA10" i="15"/>
  <c r="AA14" i="15"/>
  <c r="AA16" i="15"/>
  <c r="AA18" i="15"/>
  <c r="AA20" i="15"/>
  <c r="AA22" i="15"/>
  <c r="Z5" i="15"/>
  <c r="Z8" i="15"/>
  <c r="Z10" i="15"/>
  <c r="Z14" i="15"/>
  <c r="Z16" i="15"/>
  <c r="Z18" i="15"/>
  <c r="Z20" i="15"/>
  <c r="Z22" i="15"/>
  <c r="Y5" i="15"/>
  <c r="Y8" i="15"/>
  <c r="Y10" i="15"/>
  <c r="Y14" i="15"/>
  <c r="Y16" i="15"/>
  <c r="Y18" i="15"/>
  <c r="Y20" i="15"/>
  <c r="Y22" i="15"/>
  <c r="X5" i="15"/>
  <c r="X8" i="15"/>
  <c r="X10" i="15"/>
  <c r="X14" i="15"/>
  <c r="X16" i="15"/>
  <c r="X18" i="15"/>
  <c r="X20" i="15"/>
  <c r="X22" i="15"/>
  <c r="T5" i="15"/>
  <c r="T8" i="15"/>
  <c r="T10" i="15"/>
  <c r="T14" i="15"/>
  <c r="T16" i="15"/>
  <c r="T18" i="15"/>
  <c r="T20" i="15"/>
  <c r="T22" i="15"/>
  <c r="S5" i="15"/>
  <c r="S8" i="15"/>
  <c r="S10" i="15"/>
  <c r="S14" i="15"/>
  <c r="S16" i="15"/>
  <c r="S18" i="15"/>
  <c r="S20" i="15"/>
  <c r="S22" i="15"/>
  <c r="R5" i="15"/>
  <c r="R8" i="15"/>
  <c r="R10" i="15"/>
  <c r="R14" i="15"/>
  <c r="R16" i="15"/>
  <c r="R18" i="15"/>
  <c r="R20" i="15"/>
  <c r="R22" i="15"/>
  <c r="Q5" i="15"/>
  <c r="Q8" i="15"/>
  <c r="Q10" i="15"/>
  <c r="Q14" i="15"/>
  <c r="Q16" i="15"/>
  <c r="Q18" i="15"/>
  <c r="Q20" i="15"/>
  <c r="Q22" i="15"/>
  <c r="P5" i="15"/>
  <c r="P8" i="15"/>
  <c r="P10" i="15"/>
  <c r="P14" i="15"/>
  <c r="P16" i="15"/>
  <c r="P18" i="15"/>
  <c r="P20" i="15"/>
  <c r="P22" i="15"/>
  <c r="O5" i="15"/>
  <c r="O8" i="15"/>
  <c r="O10" i="15"/>
  <c r="O14" i="15"/>
  <c r="O16" i="15"/>
  <c r="O18" i="15"/>
  <c r="O20" i="15"/>
  <c r="O22" i="15"/>
  <c r="K5" i="15"/>
  <c r="K8" i="15"/>
  <c r="K10" i="15"/>
  <c r="K14" i="15"/>
  <c r="K16" i="15"/>
  <c r="K18" i="15"/>
  <c r="K20" i="15"/>
  <c r="K22" i="15"/>
  <c r="J5" i="15"/>
  <c r="J8" i="15"/>
  <c r="J10" i="15"/>
  <c r="J14" i="15"/>
  <c r="J16" i="15"/>
  <c r="J18" i="15"/>
  <c r="J20" i="15"/>
  <c r="J22" i="15"/>
  <c r="F5" i="15"/>
  <c r="F8" i="15"/>
  <c r="F10" i="15"/>
  <c r="F14" i="15"/>
  <c r="F16" i="15"/>
  <c r="F18" i="15"/>
  <c r="F20" i="15"/>
  <c r="F22" i="15"/>
  <c r="E5" i="15"/>
  <c r="E8" i="15"/>
  <c r="E10" i="15"/>
  <c r="E14" i="15"/>
  <c r="E16" i="15"/>
  <c r="E18" i="15"/>
  <c r="E20" i="15"/>
  <c r="E22" i="15"/>
  <c r="D5" i="15"/>
  <c r="D8" i="15"/>
  <c r="D10" i="15"/>
  <c r="D14" i="15"/>
  <c r="D16" i="15"/>
  <c r="D18" i="15"/>
  <c r="D20" i="15"/>
  <c r="D22" i="15"/>
  <c r="C5" i="15"/>
  <c r="C8" i="15"/>
  <c r="C10" i="15"/>
  <c r="C14" i="15"/>
  <c r="C16" i="15"/>
  <c r="C18" i="15"/>
  <c r="C20" i="15"/>
  <c r="C22" i="15"/>
  <c r="U5" i="14"/>
  <c r="U8" i="14"/>
  <c r="U10" i="14"/>
  <c r="U14" i="14"/>
  <c r="U16" i="14"/>
  <c r="U18" i="14"/>
  <c r="U20" i="14"/>
  <c r="U22" i="14"/>
  <c r="T5" i="14"/>
  <c r="T8" i="14"/>
  <c r="T10" i="14"/>
  <c r="T14" i="14"/>
  <c r="T16" i="14"/>
  <c r="T18" i="14"/>
  <c r="T20" i="14"/>
  <c r="T22" i="14"/>
  <c r="S5" i="14"/>
  <c r="S8" i="14"/>
  <c r="S10" i="14"/>
  <c r="S14" i="14"/>
  <c r="S16" i="14"/>
  <c r="S18" i="14"/>
  <c r="S20" i="14"/>
  <c r="S22" i="14"/>
  <c r="R5" i="14"/>
  <c r="R8" i="14"/>
  <c r="R10" i="14"/>
  <c r="R14" i="14"/>
  <c r="R16" i="14"/>
  <c r="R18" i="14"/>
  <c r="R20" i="14"/>
  <c r="R22" i="14"/>
  <c r="Q5" i="14"/>
  <c r="Q8" i="14"/>
  <c r="Q10" i="14"/>
  <c r="Q14" i="14"/>
  <c r="Q16" i="14"/>
  <c r="Q18" i="14"/>
  <c r="Q20" i="14"/>
  <c r="Q22" i="14"/>
  <c r="P5" i="14"/>
  <c r="P8" i="14"/>
  <c r="P10" i="14"/>
  <c r="P14" i="14"/>
  <c r="P16" i="14"/>
  <c r="P18" i="14"/>
  <c r="P20" i="14"/>
  <c r="P22" i="14"/>
  <c r="O5" i="14"/>
  <c r="O8" i="14"/>
  <c r="O10" i="14"/>
  <c r="O14" i="14"/>
  <c r="O16" i="14"/>
  <c r="O18" i="14"/>
  <c r="O20" i="14"/>
  <c r="O22" i="14"/>
  <c r="N5" i="14"/>
  <c r="N8" i="14"/>
  <c r="N10" i="14"/>
  <c r="N14" i="14"/>
  <c r="N16" i="14"/>
  <c r="N18" i="14"/>
  <c r="N20" i="14"/>
  <c r="N22" i="14"/>
  <c r="AT4" i="14"/>
  <c r="AT7" i="14"/>
  <c r="AT9" i="14"/>
  <c r="AT13" i="14"/>
  <c r="AT15" i="14"/>
  <c r="AT17" i="14"/>
  <c r="AT19" i="14"/>
  <c r="AT21" i="14"/>
  <c r="AS4" i="14"/>
  <c r="AS7" i="14"/>
  <c r="AS9" i="14"/>
  <c r="AS13" i="14"/>
  <c r="AS15" i="14"/>
  <c r="AS17" i="14"/>
  <c r="AS19" i="14"/>
  <c r="AS21" i="14"/>
  <c r="AR4" i="14"/>
  <c r="AR7" i="14"/>
  <c r="AR9" i="14"/>
  <c r="AR13" i="14"/>
  <c r="AR15" i="14"/>
  <c r="AR17" i="14"/>
  <c r="AR19" i="14"/>
  <c r="AR21" i="14"/>
  <c r="AQ4" i="14"/>
  <c r="AQ7" i="14"/>
  <c r="AQ9" i="14"/>
  <c r="AQ13" i="14"/>
  <c r="AQ15" i="14"/>
  <c r="AQ17" i="14"/>
  <c r="AQ19" i="14"/>
  <c r="AQ21" i="14"/>
  <c r="AP4" i="14"/>
  <c r="AP7" i="14"/>
  <c r="AP9" i="14"/>
  <c r="AP13" i="14"/>
  <c r="AP15" i="14"/>
  <c r="AP17" i="14"/>
  <c r="AP19" i="14"/>
  <c r="AP21" i="14"/>
  <c r="AL4" i="14"/>
  <c r="AL7" i="14"/>
  <c r="AL9" i="14"/>
  <c r="AL13" i="14"/>
  <c r="AL15" i="14"/>
  <c r="AL17" i="14"/>
  <c r="AL19" i="14"/>
  <c r="AL21" i="14"/>
  <c r="AK4" i="14"/>
  <c r="AK7" i="14"/>
  <c r="AK9" i="14"/>
  <c r="AK13" i="14"/>
  <c r="AK15" i="14"/>
  <c r="AK17" i="14"/>
  <c r="AK19" i="14"/>
  <c r="AK21" i="14"/>
  <c r="AJ4" i="14"/>
  <c r="AJ7" i="14"/>
  <c r="AJ9" i="14"/>
  <c r="AJ13" i="14"/>
  <c r="AJ15" i="14"/>
  <c r="AJ17" i="14"/>
  <c r="AJ19" i="14"/>
  <c r="AJ21" i="14"/>
  <c r="AI4" i="14"/>
  <c r="AI7" i="14"/>
  <c r="AI9" i="14"/>
  <c r="AI13" i="14"/>
  <c r="AI15" i="14"/>
  <c r="AI17" i="14"/>
  <c r="AI19" i="14"/>
  <c r="AI21" i="14"/>
  <c r="AH4" i="14"/>
  <c r="AH7" i="14"/>
  <c r="AH9" i="14"/>
  <c r="AH13" i="14"/>
  <c r="AH15" i="14"/>
  <c r="AH17" i="14"/>
  <c r="AH19" i="14"/>
  <c r="AH21" i="14"/>
  <c r="AG4" i="14"/>
  <c r="AG7" i="14"/>
  <c r="AG9" i="14"/>
  <c r="AG13" i="14"/>
  <c r="AG15" i="14"/>
  <c r="AG17" i="14"/>
  <c r="AG19" i="14"/>
  <c r="AG21" i="14"/>
  <c r="AC4" i="14"/>
  <c r="AC7" i="14"/>
  <c r="AC9" i="14"/>
  <c r="AC13" i="14"/>
  <c r="AC15" i="14"/>
  <c r="AC17" i="14"/>
  <c r="AC19" i="14"/>
  <c r="AC21" i="14"/>
  <c r="AB4" i="14"/>
  <c r="AB7" i="14"/>
  <c r="AB9" i="14"/>
  <c r="AB13" i="14"/>
  <c r="AB15" i="14"/>
  <c r="AB17" i="14"/>
  <c r="AB19" i="14"/>
  <c r="AB21" i="14"/>
  <c r="AA4" i="14"/>
  <c r="AA7" i="14"/>
  <c r="AA9" i="14"/>
  <c r="AA13" i="14"/>
  <c r="AA15" i="14"/>
  <c r="AA17" i="14"/>
  <c r="AA19" i="14"/>
  <c r="AA21" i="14"/>
  <c r="Z4" i="14"/>
  <c r="Z7" i="14"/>
  <c r="Z9" i="14"/>
  <c r="Z13" i="14"/>
  <c r="Z15" i="14"/>
  <c r="Z17" i="14"/>
  <c r="Z19" i="14"/>
  <c r="Z21" i="14"/>
  <c r="Y4" i="14"/>
  <c r="Y7" i="14"/>
  <c r="Y9" i="14"/>
  <c r="Y13" i="14"/>
  <c r="Y15" i="14"/>
  <c r="Y17" i="14"/>
  <c r="Y19" i="14"/>
  <c r="Y21" i="14"/>
  <c r="E4" i="14"/>
  <c r="E7" i="14"/>
  <c r="E9" i="14"/>
  <c r="E13" i="14"/>
  <c r="E15" i="14"/>
  <c r="E17" i="14"/>
  <c r="E19" i="14"/>
  <c r="E21" i="14"/>
  <c r="I21" i="14" s="1"/>
  <c r="F4" i="14"/>
  <c r="F7" i="14"/>
  <c r="F9" i="14"/>
  <c r="F13" i="14"/>
  <c r="F15" i="14"/>
  <c r="F17" i="14"/>
  <c r="F19" i="14"/>
  <c r="F21" i="14"/>
  <c r="H21" i="14" s="1"/>
  <c r="G4" i="14"/>
  <c r="G7" i="14"/>
  <c r="G9" i="14"/>
  <c r="G13" i="14"/>
  <c r="G15" i="14"/>
  <c r="G17" i="14"/>
  <c r="G19" i="14"/>
  <c r="G21" i="14"/>
  <c r="D4" i="14"/>
  <c r="D7" i="14"/>
  <c r="D9" i="14"/>
  <c r="D13" i="14"/>
  <c r="D15" i="14"/>
  <c r="D17" i="14"/>
  <c r="D19" i="14"/>
  <c r="D21" i="14"/>
  <c r="C4" i="14"/>
  <c r="C7" i="14"/>
  <c r="C9" i="14"/>
  <c r="C13" i="14"/>
  <c r="C15" i="14"/>
  <c r="C17" i="14"/>
  <c r="C19" i="14"/>
  <c r="C21" i="14"/>
  <c r="J19" i="14"/>
  <c r="I19" i="14"/>
  <c r="H19" i="14"/>
  <c r="J17" i="14"/>
  <c r="I17" i="14"/>
  <c r="H17" i="14"/>
  <c r="J15" i="14"/>
  <c r="I15" i="14"/>
  <c r="H15" i="14"/>
  <c r="J13" i="14"/>
  <c r="I13" i="14"/>
  <c r="H13" i="14"/>
  <c r="I9" i="14"/>
  <c r="CX8" i="14"/>
  <c r="DB8" i="14" s="1"/>
  <c r="CY8" i="14"/>
  <c r="DA8" i="14" s="1"/>
  <c r="CZ8" i="14"/>
  <c r="J7" i="14"/>
  <c r="I7" i="14"/>
  <c r="H7" i="14"/>
  <c r="BQ4" i="14"/>
  <c r="F5" i="13"/>
  <c r="F8" i="13"/>
  <c r="F10" i="13"/>
  <c r="F14" i="13"/>
  <c r="F16" i="13"/>
  <c r="F18" i="13"/>
  <c r="F20" i="13"/>
  <c r="F22" i="13"/>
  <c r="E5" i="13"/>
  <c r="E8" i="13"/>
  <c r="E10" i="13"/>
  <c r="E14" i="13"/>
  <c r="E16" i="13"/>
  <c r="E18" i="13"/>
  <c r="E20" i="13"/>
  <c r="E22" i="13"/>
  <c r="D5" i="13"/>
  <c r="D8" i="13"/>
  <c r="D10" i="13"/>
  <c r="D14" i="13"/>
  <c r="D16" i="13"/>
  <c r="D18" i="13"/>
  <c r="D20" i="13"/>
  <c r="D22" i="13"/>
  <c r="C5" i="13"/>
  <c r="C8" i="13"/>
  <c r="C10" i="13"/>
  <c r="C14" i="13"/>
  <c r="C16" i="13"/>
  <c r="C18" i="13"/>
  <c r="C20" i="13"/>
  <c r="C22" i="13"/>
  <c r="I11" i="12"/>
  <c r="I10" i="12"/>
  <c r="I9" i="12"/>
  <c r="S8" i="12"/>
  <c r="I8" i="12"/>
  <c r="S7" i="12"/>
  <c r="I7" i="12"/>
  <c r="S6" i="12"/>
  <c r="G6" i="12"/>
  <c r="I6" i="12" s="1"/>
  <c r="S5" i="12"/>
  <c r="I5" i="12"/>
  <c r="S4" i="12"/>
  <c r="I4" i="12"/>
  <c r="W5" i="11"/>
  <c r="W8" i="11"/>
  <c r="W10" i="11"/>
  <c r="W14" i="11"/>
  <c r="W16" i="11"/>
  <c r="W18" i="11"/>
  <c r="W20" i="11"/>
  <c r="W22" i="11"/>
  <c r="V5" i="11"/>
  <c r="V8" i="11"/>
  <c r="V10" i="11"/>
  <c r="V14" i="11"/>
  <c r="V16" i="11"/>
  <c r="V18" i="11"/>
  <c r="V20" i="11"/>
  <c r="V22" i="11"/>
  <c r="U5" i="11"/>
  <c r="U8" i="11"/>
  <c r="U10" i="11"/>
  <c r="U14" i="11"/>
  <c r="U16" i="11"/>
  <c r="U18" i="11"/>
  <c r="U20" i="11"/>
  <c r="U22" i="11"/>
  <c r="T5" i="11"/>
  <c r="T8" i="11"/>
  <c r="T10" i="11"/>
  <c r="T14" i="11"/>
  <c r="T16" i="11"/>
  <c r="T18" i="11"/>
  <c r="T20" i="11"/>
  <c r="T22" i="11"/>
  <c r="S5" i="11"/>
  <c r="S8" i="11"/>
  <c r="S10" i="11"/>
  <c r="S14" i="11"/>
  <c r="S16" i="11"/>
  <c r="S18" i="11"/>
  <c r="S20" i="11"/>
  <c r="S22" i="11"/>
  <c r="R5" i="11"/>
  <c r="R8" i="11"/>
  <c r="R10" i="11"/>
  <c r="R14" i="11"/>
  <c r="R16" i="11"/>
  <c r="R18" i="11"/>
  <c r="R20" i="11"/>
  <c r="R22" i="11"/>
  <c r="Q5" i="11"/>
  <c r="Q8" i="11"/>
  <c r="Q10" i="11"/>
  <c r="Q14" i="11"/>
  <c r="Q16" i="11"/>
  <c r="Q18" i="11"/>
  <c r="Q20" i="11"/>
  <c r="Q22" i="11"/>
  <c r="P5" i="11"/>
  <c r="P8" i="11"/>
  <c r="P10" i="11"/>
  <c r="P14" i="11"/>
  <c r="P16" i="11"/>
  <c r="P18" i="11"/>
  <c r="P20" i="11"/>
  <c r="P22" i="11"/>
  <c r="O5" i="11"/>
  <c r="O8" i="11"/>
  <c r="O10" i="11"/>
  <c r="O14" i="11"/>
  <c r="O16" i="11"/>
  <c r="O18" i="11"/>
  <c r="O20" i="11"/>
  <c r="O22" i="11"/>
  <c r="Q5" i="10"/>
  <c r="Q8" i="10"/>
  <c r="Q10" i="10"/>
  <c r="Q14" i="10"/>
  <c r="Q16" i="10"/>
  <c r="Q18" i="10"/>
  <c r="Q20" i="10"/>
  <c r="Q22" i="10"/>
  <c r="P5" i="10"/>
  <c r="P8" i="10"/>
  <c r="P10" i="10"/>
  <c r="P14" i="10"/>
  <c r="P16" i="10"/>
  <c r="P18" i="10"/>
  <c r="P20" i="10"/>
  <c r="P22" i="10"/>
  <c r="O5" i="10"/>
  <c r="O8" i="10"/>
  <c r="O10" i="10"/>
  <c r="O14" i="10"/>
  <c r="O16" i="10"/>
  <c r="O18" i="10"/>
  <c r="O20" i="10"/>
  <c r="O22" i="10"/>
  <c r="N5" i="10"/>
  <c r="N8" i="10"/>
  <c r="N10" i="10"/>
  <c r="N14" i="10"/>
  <c r="N16" i="10"/>
  <c r="N18" i="10"/>
  <c r="N20" i="10"/>
  <c r="N22" i="10"/>
  <c r="M5" i="10"/>
  <c r="M8" i="10"/>
  <c r="M10" i="10"/>
  <c r="M14" i="10"/>
  <c r="M16" i="10"/>
  <c r="M18" i="10"/>
  <c r="M20" i="10"/>
  <c r="M22" i="10"/>
  <c r="L5" i="10"/>
  <c r="L8" i="10"/>
  <c r="L10" i="10"/>
  <c r="L14" i="10"/>
  <c r="L16" i="10"/>
  <c r="L18" i="10"/>
  <c r="L20" i="10"/>
  <c r="L22" i="10"/>
  <c r="U4" i="9"/>
  <c r="U7" i="9"/>
  <c r="U9" i="9"/>
  <c r="U13" i="9"/>
  <c r="U15" i="9"/>
  <c r="U17" i="9"/>
  <c r="U19" i="9"/>
  <c r="U21" i="9"/>
  <c r="I4" i="9"/>
  <c r="I7" i="9"/>
  <c r="I9" i="9"/>
  <c r="I13" i="9"/>
  <c r="I15" i="9"/>
  <c r="I17" i="9"/>
  <c r="I19" i="9"/>
  <c r="I21" i="9"/>
  <c r="H4" i="9"/>
  <c r="H7" i="9"/>
  <c r="H9" i="9"/>
  <c r="H13" i="9"/>
  <c r="H15" i="9"/>
  <c r="H17" i="9"/>
  <c r="H19" i="9"/>
  <c r="H21" i="9"/>
  <c r="G4" i="9"/>
  <c r="G7" i="9"/>
  <c r="G9" i="9"/>
  <c r="G13" i="9"/>
  <c r="G15" i="9"/>
  <c r="G17" i="9"/>
  <c r="G19" i="9"/>
  <c r="G21" i="9"/>
  <c r="F4" i="9"/>
  <c r="F7" i="9"/>
  <c r="F9" i="9"/>
  <c r="F13" i="9"/>
  <c r="F15" i="9"/>
  <c r="F17" i="9"/>
  <c r="F19" i="9"/>
  <c r="F21" i="9"/>
  <c r="E4" i="9"/>
  <c r="E7" i="9"/>
  <c r="E9" i="9"/>
  <c r="E13" i="9"/>
  <c r="E15" i="9"/>
  <c r="E17" i="9"/>
  <c r="E19" i="9"/>
  <c r="E21" i="9"/>
  <c r="D4" i="9"/>
  <c r="D7" i="9"/>
  <c r="D9" i="9"/>
  <c r="D13" i="9"/>
  <c r="D15" i="9"/>
  <c r="D17" i="9"/>
  <c r="D19" i="9"/>
  <c r="D21" i="9"/>
  <c r="C4" i="9"/>
  <c r="C7" i="9"/>
  <c r="C9" i="9"/>
  <c r="C13" i="9"/>
  <c r="C15" i="9"/>
  <c r="C17" i="9"/>
  <c r="C19" i="9"/>
  <c r="C21" i="9"/>
  <c r="Q5" i="8"/>
  <c r="Q8" i="8"/>
  <c r="Q10" i="8"/>
  <c r="Q14" i="8"/>
  <c r="Q16" i="8"/>
  <c r="Q18" i="8"/>
  <c r="Q20" i="8"/>
  <c r="Q22" i="8"/>
  <c r="S5" i="8"/>
  <c r="S8" i="8"/>
  <c r="S10" i="8"/>
  <c r="S14" i="8"/>
  <c r="S16" i="8"/>
  <c r="S18" i="8"/>
  <c r="S20" i="8"/>
  <c r="S22" i="8"/>
  <c r="T5" i="8"/>
  <c r="T8" i="8"/>
  <c r="T10" i="8"/>
  <c r="T14" i="8"/>
  <c r="T16" i="8"/>
  <c r="T18" i="8"/>
  <c r="T20" i="8"/>
  <c r="T22" i="8"/>
  <c r="U5" i="8"/>
  <c r="U8" i="8"/>
  <c r="U10" i="8"/>
  <c r="U14" i="8"/>
  <c r="U16" i="8"/>
  <c r="U18" i="8"/>
  <c r="U20" i="8"/>
  <c r="U22" i="8"/>
  <c r="AD23" i="8"/>
  <c r="AD27" i="8" s="1"/>
  <c r="AD28" i="8" s="1"/>
  <c r="J5" i="8"/>
  <c r="J8" i="8"/>
  <c r="J10" i="8"/>
  <c r="J14" i="8"/>
  <c r="J16" i="8"/>
  <c r="J18" i="8"/>
  <c r="J20" i="8"/>
  <c r="J22" i="8"/>
  <c r="DS22" i="8" s="1"/>
  <c r="K5" i="8"/>
  <c r="K8" i="8"/>
  <c r="K10" i="8"/>
  <c r="K14" i="8"/>
  <c r="K16" i="8"/>
  <c r="K18" i="8"/>
  <c r="K20" i="8"/>
  <c r="K22" i="8"/>
  <c r="I5" i="8"/>
  <c r="DR5" i="8" s="1"/>
  <c r="I8" i="8"/>
  <c r="DR8" i="8" s="1"/>
  <c r="I10" i="8"/>
  <c r="I14" i="8"/>
  <c r="DR14" i="8" s="1"/>
  <c r="I16" i="8"/>
  <c r="I18" i="8"/>
  <c r="DR18" i="8" s="1"/>
  <c r="I20" i="8"/>
  <c r="DR20" i="8" s="1"/>
  <c r="I22" i="8"/>
  <c r="DR22" i="8" s="1"/>
  <c r="H5" i="8"/>
  <c r="DQ5" i="8" s="1"/>
  <c r="H8" i="8"/>
  <c r="DQ8" i="8" s="1"/>
  <c r="H10" i="8"/>
  <c r="DQ10" i="8" s="1"/>
  <c r="H14" i="8"/>
  <c r="DQ14" i="8" s="1"/>
  <c r="H16" i="8"/>
  <c r="H18" i="8"/>
  <c r="DQ18" i="8" s="1"/>
  <c r="H20" i="8"/>
  <c r="DQ20" i="8" s="1"/>
  <c r="H22" i="8"/>
  <c r="DQ22" i="8" s="1"/>
  <c r="G5" i="8"/>
  <c r="DP5" i="8" s="1"/>
  <c r="G8" i="8"/>
  <c r="G10" i="8"/>
  <c r="DP10" i="8" s="1"/>
  <c r="G14" i="8"/>
  <c r="G16" i="8"/>
  <c r="G18" i="8"/>
  <c r="DP18" i="8" s="1"/>
  <c r="G20" i="8"/>
  <c r="DP20" i="8" s="1"/>
  <c r="G22" i="8"/>
  <c r="DP22" i="8" s="1"/>
  <c r="F5" i="8"/>
  <c r="DO5" i="8" s="1"/>
  <c r="F8" i="8"/>
  <c r="DO8" i="8" s="1"/>
  <c r="F10" i="8"/>
  <c r="DO10" i="8" s="1"/>
  <c r="F14" i="8"/>
  <c r="DO14" i="8" s="1"/>
  <c r="F16" i="8"/>
  <c r="F18" i="8"/>
  <c r="DO18" i="8" s="1"/>
  <c r="F20" i="8"/>
  <c r="DO20" i="8" s="1"/>
  <c r="F22" i="8"/>
  <c r="DO22" i="8" s="1"/>
  <c r="E5" i="8"/>
  <c r="DN5" i="8" s="1"/>
  <c r="E8" i="8"/>
  <c r="E10" i="8"/>
  <c r="DN10" i="8" s="1"/>
  <c r="E14" i="8"/>
  <c r="E16" i="8"/>
  <c r="E18" i="8"/>
  <c r="DN18" i="8" s="1"/>
  <c r="E20" i="8"/>
  <c r="DN20" i="8" s="1"/>
  <c r="E22" i="8"/>
  <c r="DN22" i="8" s="1"/>
  <c r="D5" i="8"/>
  <c r="DM5" i="8" s="1"/>
  <c r="D8" i="8"/>
  <c r="D10" i="8"/>
  <c r="DM10" i="8" s="1"/>
  <c r="D14" i="8"/>
  <c r="DM14" i="8" s="1"/>
  <c r="D16" i="8"/>
  <c r="D18" i="8"/>
  <c r="DM18" i="8" s="1"/>
  <c r="D20" i="8"/>
  <c r="DM20" i="8" s="1"/>
  <c r="D22" i="8"/>
  <c r="DM22" i="8" s="1"/>
  <c r="C5" i="8"/>
  <c r="DL5" i="8" s="1"/>
  <c r="C8" i="8"/>
  <c r="DL8" i="8" s="1"/>
  <c r="C10" i="8"/>
  <c r="DL10" i="8" s="1"/>
  <c r="C14" i="8"/>
  <c r="DL14" i="8" s="1"/>
  <c r="C16" i="8"/>
  <c r="C18" i="8"/>
  <c r="DL18" i="8" s="1"/>
  <c r="C20" i="8"/>
  <c r="DL20" i="8" s="1"/>
  <c r="C22" i="8"/>
  <c r="DL22" i="8" s="1"/>
  <c r="CR5" i="8"/>
  <c r="CR8" i="8"/>
  <c r="CR10" i="8"/>
  <c r="CR14" i="8"/>
  <c r="CR16" i="8"/>
  <c r="CR18" i="8"/>
  <c r="CR20" i="8"/>
  <c r="CR22" i="8"/>
  <c r="CQ5" i="8"/>
  <c r="CQ8" i="8"/>
  <c r="CQ10" i="8"/>
  <c r="CQ14" i="8"/>
  <c r="CQ16" i="8"/>
  <c r="CQ18" i="8"/>
  <c r="CQ20" i="8"/>
  <c r="CQ22" i="8"/>
  <c r="BW5" i="8"/>
  <c r="BW8" i="8"/>
  <c r="BZ8" i="8" s="1"/>
  <c r="CD8" i="8" s="1"/>
  <c r="BW10" i="8"/>
  <c r="BW14" i="8"/>
  <c r="BW16" i="8"/>
  <c r="BW18" i="8"/>
  <c r="BW20" i="8"/>
  <c r="BW22" i="8"/>
  <c r="BZ22" i="8" s="1"/>
  <c r="CD22" i="8" s="1"/>
  <c r="BX5" i="8"/>
  <c r="BX8" i="8"/>
  <c r="BX10" i="8"/>
  <c r="BX14" i="8"/>
  <c r="BX16" i="8"/>
  <c r="BX18" i="8"/>
  <c r="BX20" i="8"/>
  <c r="BX22" i="8"/>
  <c r="BY5" i="8"/>
  <c r="BY8" i="8"/>
  <c r="BY10" i="8"/>
  <c r="BY14" i="8"/>
  <c r="BY16" i="8"/>
  <c r="BY18" i="8"/>
  <c r="BY20" i="8"/>
  <c r="BY22" i="8"/>
  <c r="BV5" i="8"/>
  <c r="BV8" i="8"/>
  <c r="BV10" i="8"/>
  <c r="BV14" i="8"/>
  <c r="BV16" i="8"/>
  <c r="BV18" i="8"/>
  <c r="BV20" i="8"/>
  <c r="BV22" i="8"/>
  <c r="BU5" i="8"/>
  <c r="BU8" i="8"/>
  <c r="BU10" i="8"/>
  <c r="BU14" i="8"/>
  <c r="BU16" i="8"/>
  <c r="BU18" i="8"/>
  <c r="BU20" i="8"/>
  <c r="BU22" i="8"/>
  <c r="BT5" i="8"/>
  <c r="BT8" i="8"/>
  <c r="BT10" i="8"/>
  <c r="BT14" i="8"/>
  <c r="BT16" i="8"/>
  <c r="BT18" i="8"/>
  <c r="BT20" i="8"/>
  <c r="BT22" i="8"/>
  <c r="BS5" i="8"/>
  <c r="BS8" i="8"/>
  <c r="BS10" i="8"/>
  <c r="BS14" i="8"/>
  <c r="BS16" i="8"/>
  <c r="BS18" i="8"/>
  <c r="BS20" i="8"/>
  <c r="BS22" i="8"/>
  <c r="BR5" i="8"/>
  <c r="BR8" i="8"/>
  <c r="BR10" i="8"/>
  <c r="BR14" i="8"/>
  <c r="BR16" i="8"/>
  <c r="BR18" i="8"/>
  <c r="BR20" i="8"/>
  <c r="BR22" i="8"/>
  <c r="BQ5" i="8"/>
  <c r="BQ8" i="8"/>
  <c r="BQ10" i="8"/>
  <c r="BQ14" i="8"/>
  <c r="BQ16" i="8"/>
  <c r="BQ18" i="8"/>
  <c r="BQ20" i="8"/>
  <c r="BQ22" i="8"/>
  <c r="BP5" i="8"/>
  <c r="BP8" i="8"/>
  <c r="BP10" i="8"/>
  <c r="BP14" i="8"/>
  <c r="BP16" i="8"/>
  <c r="BP18" i="8"/>
  <c r="BP20" i="8"/>
  <c r="BP22" i="8"/>
  <c r="BO5" i="8"/>
  <c r="BO8" i="8"/>
  <c r="BO10" i="8"/>
  <c r="BO14" i="8"/>
  <c r="BO16" i="8"/>
  <c r="BO18" i="8"/>
  <c r="BO20" i="8"/>
  <c r="BO22" i="8"/>
  <c r="BN5" i="8"/>
  <c r="BN8" i="8"/>
  <c r="BN10" i="8"/>
  <c r="BN14" i="8"/>
  <c r="BN16" i="8"/>
  <c r="BN18" i="8"/>
  <c r="BN20" i="8"/>
  <c r="BN22" i="8"/>
  <c r="BM5" i="8"/>
  <c r="BM8" i="8"/>
  <c r="BM10" i="8"/>
  <c r="BM14" i="8"/>
  <c r="BM16" i="8"/>
  <c r="BM18" i="8"/>
  <c r="BM20" i="8"/>
  <c r="BM22" i="8"/>
  <c r="BL5" i="8"/>
  <c r="BL8" i="8"/>
  <c r="BL10" i="8"/>
  <c r="BL14" i="8"/>
  <c r="BL16" i="8"/>
  <c r="BL18" i="8"/>
  <c r="BL20" i="8"/>
  <c r="BL22" i="8"/>
  <c r="BK5" i="8"/>
  <c r="BK8" i="8"/>
  <c r="BK10" i="8"/>
  <c r="BK14" i="8"/>
  <c r="BK16" i="8"/>
  <c r="BK18" i="8"/>
  <c r="BK20" i="8"/>
  <c r="BK22" i="8"/>
  <c r="BJ5" i="8"/>
  <c r="BJ8" i="8"/>
  <c r="BJ10" i="8"/>
  <c r="BJ14" i="8"/>
  <c r="BJ16" i="8"/>
  <c r="BJ18" i="8"/>
  <c r="BJ20" i="8"/>
  <c r="BJ22" i="8"/>
  <c r="BI5" i="8"/>
  <c r="BI8" i="8"/>
  <c r="BI10" i="8"/>
  <c r="BI14" i="8"/>
  <c r="BI16" i="8"/>
  <c r="BI18" i="8"/>
  <c r="BI20" i="8"/>
  <c r="BI22" i="8"/>
  <c r="AU5" i="8"/>
  <c r="AU8" i="8"/>
  <c r="AU10" i="8"/>
  <c r="AU14" i="8"/>
  <c r="AU16" i="8"/>
  <c r="AU18" i="8"/>
  <c r="AU20" i="8"/>
  <c r="AU22" i="8"/>
  <c r="AT5" i="8"/>
  <c r="AT8" i="8"/>
  <c r="AT10" i="8"/>
  <c r="AT14" i="8"/>
  <c r="AT16" i="8"/>
  <c r="AT18" i="8"/>
  <c r="AT20" i="8"/>
  <c r="AT22" i="8"/>
  <c r="AS5" i="8"/>
  <c r="AS8" i="8"/>
  <c r="AS10" i="8"/>
  <c r="AS14" i="8"/>
  <c r="AS16" i="8"/>
  <c r="AS18" i="8"/>
  <c r="AS20" i="8"/>
  <c r="AS22" i="8"/>
  <c r="AR5" i="8"/>
  <c r="AR8" i="8"/>
  <c r="AR10" i="8"/>
  <c r="AR14" i="8"/>
  <c r="AR16" i="8"/>
  <c r="AR18" i="8"/>
  <c r="AR20" i="8"/>
  <c r="AR22" i="8"/>
  <c r="AQ5" i="8"/>
  <c r="AQ8" i="8"/>
  <c r="AQ10" i="8"/>
  <c r="AQ14" i="8"/>
  <c r="AQ16" i="8"/>
  <c r="AQ18" i="8"/>
  <c r="AQ20" i="8"/>
  <c r="AQ22" i="8"/>
  <c r="AP5" i="8"/>
  <c r="AP8" i="8"/>
  <c r="AP10" i="8"/>
  <c r="AP14" i="8"/>
  <c r="AP16" i="8"/>
  <c r="AP18" i="8"/>
  <c r="AP20" i="8"/>
  <c r="AP22" i="8"/>
  <c r="AO5" i="8"/>
  <c r="AO8" i="8"/>
  <c r="AO10" i="8"/>
  <c r="AO14" i="8"/>
  <c r="AO16" i="8"/>
  <c r="AO18" i="8"/>
  <c r="AO20" i="8"/>
  <c r="AO22" i="8"/>
  <c r="AN5" i="8"/>
  <c r="AN8" i="8"/>
  <c r="AN10" i="8"/>
  <c r="AN14" i="8"/>
  <c r="AN16" i="8"/>
  <c r="AN18" i="8"/>
  <c r="AN20" i="8"/>
  <c r="AN22" i="8"/>
  <c r="AM5" i="8"/>
  <c r="AM8" i="8"/>
  <c r="AM10" i="8"/>
  <c r="AM14" i="8"/>
  <c r="AM16" i="8"/>
  <c r="AM18" i="8"/>
  <c r="AM20" i="8"/>
  <c r="AM22" i="8"/>
  <c r="AL5" i="8"/>
  <c r="AL8" i="8"/>
  <c r="AL10" i="8"/>
  <c r="AL14" i="8"/>
  <c r="AL16" i="8"/>
  <c r="AL18" i="8"/>
  <c r="AL20" i="8"/>
  <c r="AL22" i="8"/>
  <c r="W5" i="8"/>
  <c r="W8" i="8"/>
  <c r="W10" i="8"/>
  <c r="W14" i="8"/>
  <c r="W16" i="8"/>
  <c r="W18" i="8"/>
  <c r="W20" i="8"/>
  <c r="W22" i="8"/>
  <c r="V5" i="8"/>
  <c r="V8" i="8"/>
  <c r="V10" i="8"/>
  <c r="V14" i="8"/>
  <c r="V16" i="8"/>
  <c r="V18" i="8"/>
  <c r="V20" i="8"/>
  <c r="V22" i="8"/>
  <c r="R5" i="8"/>
  <c r="R8" i="8"/>
  <c r="R10" i="8"/>
  <c r="R14" i="8"/>
  <c r="R16" i="8"/>
  <c r="R18" i="8"/>
  <c r="R20" i="8"/>
  <c r="R22" i="8"/>
  <c r="P5" i="8"/>
  <c r="P8" i="8"/>
  <c r="P10" i="8"/>
  <c r="P14" i="8"/>
  <c r="P16" i="8"/>
  <c r="P18" i="8"/>
  <c r="P20" i="8"/>
  <c r="P22" i="8"/>
  <c r="O5" i="8"/>
  <c r="O8" i="8"/>
  <c r="O10" i="8"/>
  <c r="O14" i="8"/>
  <c r="O16" i="8"/>
  <c r="O18" i="8"/>
  <c r="O20" i="8"/>
  <c r="O22" i="8"/>
  <c r="N5" i="8"/>
  <c r="N8" i="8"/>
  <c r="N10" i="8"/>
  <c r="N14" i="8"/>
  <c r="N16" i="8"/>
  <c r="N18" i="8"/>
  <c r="N20" i="8"/>
  <c r="N22" i="8"/>
  <c r="M5" i="8"/>
  <c r="M8" i="8"/>
  <c r="M10" i="8"/>
  <c r="M14" i="8"/>
  <c r="M16" i="8"/>
  <c r="M18" i="8"/>
  <c r="M20" i="8"/>
  <c r="M22" i="8"/>
  <c r="L5" i="8"/>
  <c r="L8" i="8"/>
  <c r="L10" i="8"/>
  <c r="L14" i="8"/>
  <c r="L16" i="8"/>
  <c r="L18" i="8"/>
  <c r="L20" i="8"/>
  <c r="L22" i="8"/>
  <c r="DS24" i="8"/>
  <c r="DR24" i="8"/>
  <c r="DQ24" i="8"/>
  <c r="DP24" i="8"/>
  <c r="DO24" i="8"/>
  <c r="DN24" i="8"/>
  <c r="DM24" i="8"/>
  <c r="DL24" i="8"/>
  <c r="BZ24" i="8"/>
  <c r="CD24" i="8" s="1"/>
  <c r="DS23" i="8"/>
  <c r="DR23" i="8"/>
  <c r="DQ23" i="8"/>
  <c r="DP23" i="8"/>
  <c r="DO23" i="8"/>
  <c r="DN23" i="8"/>
  <c r="DM23" i="8"/>
  <c r="DL23" i="8"/>
  <c r="CM23" i="8"/>
  <c r="CL23" i="8"/>
  <c r="CK23" i="8"/>
  <c r="CJ23" i="8"/>
  <c r="CI23" i="8"/>
  <c r="BZ23" i="8"/>
  <c r="CD23" i="8" s="1"/>
  <c r="AC23" i="8"/>
  <c r="AB23" i="8"/>
  <c r="AA23" i="8"/>
  <c r="DS21" i="8"/>
  <c r="DR21" i="8"/>
  <c r="DQ21" i="8"/>
  <c r="DP21" i="8"/>
  <c r="DO21" i="8"/>
  <c r="DN21" i="8"/>
  <c r="DM21" i="8"/>
  <c r="DL21" i="8"/>
  <c r="BZ21" i="8"/>
  <c r="CD21" i="8" s="1"/>
  <c r="EE20" i="8"/>
  <c r="ED20" i="8"/>
  <c r="DS19" i="8"/>
  <c r="DR19" i="8"/>
  <c r="DQ19" i="8"/>
  <c r="DP19" i="8"/>
  <c r="DO19" i="8"/>
  <c r="DN19" i="8"/>
  <c r="DM19" i="8"/>
  <c r="DL19" i="8"/>
  <c r="BZ19" i="8"/>
  <c r="CD19" i="8" s="1"/>
  <c r="DS18" i="8"/>
  <c r="DZ8" i="8"/>
  <c r="DZ9" i="8"/>
  <c r="DZ10" i="8"/>
  <c r="DZ11" i="8"/>
  <c r="DZ15" i="8"/>
  <c r="DZ16" i="8"/>
  <c r="DS17" i="8"/>
  <c r="DR17" i="8"/>
  <c r="DQ17" i="8"/>
  <c r="DP17" i="8"/>
  <c r="DO17" i="8"/>
  <c r="DN17" i="8"/>
  <c r="DM17" i="8"/>
  <c r="DL17" i="8"/>
  <c r="BZ17" i="8"/>
  <c r="CD17" i="8" s="1"/>
  <c r="DS16" i="8"/>
  <c r="DR16" i="8"/>
  <c r="DQ16" i="8"/>
  <c r="DP16" i="8"/>
  <c r="DO16" i="8"/>
  <c r="DN16" i="8"/>
  <c r="DM16" i="8"/>
  <c r="DL16" i="8"/>
  <c r="BZ16" i="8"/>
  <c r="CD16" i="8" s="1"/>
  <c r="DS15" i="8"/>
  <c r="DR15" i="8"/>
  <c r="DQ15" i="8"/>
  <c r="DP15" i="8"/>
  <c r="DO15" i="8"/>
  <c r="DN15" i="8"/>
  <c r="DM15" i="8"/>
  <c r="DL15" i="8"/>
  <c r="BZ15" i="8"/>
  <c r="CD15" i="8" s="1"/>
  <c r="DP14" i="8"/>
  <c r="AD7" i="8"/>
  <c r="AD9" i="8"/>
  <c r="AD10" i="8"/>
  <c r="AD11" i="8"/>
  <c r="DS13" i="8"/>
  <c r="DR13" i="8"/>
  <c r="DQ13" i="8"/>
  <c r="DP13" i="8"/>
  <c r="DO13" i="8"/>
  <c r="DN13" i="8"/>
  <c r="DM13" i="8"/>
  <c r="DL13" i="8"/>
  <c r="BZ13" i="8"/>
  <c r="CD13" i="8" s="1"/>
  <c r="DS12" i="8"/>
  <c r="DR12" i="8"/>
  <c r="DQ12" i="8"/>
  <c r="DP12" i="8"/>
  <c r="DO12" i="8"/>
  <c r="DN12" i="8"/>
  <c r="DM12" i="8"/>
  <c r="DL12" i="8"/>
  <c r="BZ12" i="8"/>
  <c r="CD12" i="8" s="1"/>
  <c r="BA5" i="8"/>
  <c r="BA12" i="8" s="1"/>
  <c r="AZ6" i="8"/>
  <c r="AZ5" i="8" s="1"/>
  <c r="AZ12" i="8" s="1"/>
  <c r="AY5" i="8"/>
  <c r="AY12" i="8" s="1"/>
  <c r="AX6" i="8"/>
  <c r="AX5" i="8" s="1"/>
  <c r="AX12" i="8" s="1"/>
  <c r="DS11" i="8"/>
  <c r="DR11" i="8"/>
  <c r="DQ11" i="8"/>
  <c r="DP11" i="8"/>
  <c r="DO11" i="8"/>
  <c r="DN11" i="8"/>
  <c r="DM11" i="8"/>
  <c r="DL11" i="8"/>
  <c r="CK11" i="8"/>
  <c r="CJ11" i="8"/>
  <c r="CI11" i="8"/>
  <c r="BZ11" i="8"/>
  <c r="CD11" i="8" s="1"/>
  <c r="AC11" i="8"/>
  <c r="AB11" i="8"/>
  <c r="AA11" i="8"/>
  <c r="DR10" i="8"/>
  <c r="BZ10" i="8"/>
  <c r="CD10" i="8" s="1"/>
  <c r="DS9" i="8"/>
  <c r="DR9" i="8"/>
  <c r="DQ9" i="8"/>
  <c r="DP9" i="8"/>
  <c r="DO9" i="8"/>
  <c r="DN9" i="8"/>
  <c r="DM9" i="8"/>
  <c r="DL9" i="8"/>
  <c r="CK9" i="8"/>
  <c r="CJ9" i="8"/>
  <c r="CI9" i="8"/>
  <c r="BZ9" i="8"/>
  <c r="CD9" i="8" s="1"/>
  <c r="AC9" i="8"/>
  <c r="AB9" i="8"/>
  <c r="AA9" i="8"/>
  <c r="DS8" i="8"/>
  <c r="DP8" i="8"/>
  <c r="DN8" i="8"/>
  <c r="DM8" i="8"/>
  <c r="DS7" i="8"/>
  <c r="DR7" i="8"/>
  <c r="DQ7" i="8"/>
  <c r="DP7" i="8"/>
  <c r="DO7" i="8"/>
  <c r="DN7" i="8"/>
  <c r="DM7" i="8"/>
  <c r="DL7" i="8"/>
  <c r="CX7" i="8"/>
  <c r="CW7" i="8"/>
  <c r="CV7" i="8"/>
  <c r="CU7" i="8"/>
  <c r="CL7" i="8"/>
  <c r="CK7" i="8"/>
  <c r="CJ7" i="8"/>
  <c r="CI7" i="8"/>
  <c r="BZ7" i="8"/>
  <c r="CD7" i="8" s="1"/>
  <c r="AC7" i="8"/>
  <c r="AB7" i="8"/>
  <c r="AA7" i="8"/>
  <c r="DS6" i="8"/>
  <c r="DR6" i="8"/>
  <c r="DQ6" i="8"/>
  <c r="DP6" i="8"/>
  <c r="DO6" i="8"/>
  <c r="DN6" i="8"/>
  <c r="DM6" i="8"/>
  <c r="DL6" i="8"/>
  <c r="BZ6" i="8"/>
  <c r="CD6" i="8" s="1"/>
  <c r="AB24" i="7"/>
  <c r="AA24" i="7"/>
  <c r="C4" i="7"/>
  <c r="C7" i="7"/>
  <c r="C9" i="7"/>
  <c r="C13" i="7"/>
  <c r="C15" i="7"/>
  <c r="C17" i="7"/>
  <c r="C19" i="7"/>
  <c r="C21" i="7"/>
  <c r="Q10" i="7"/>
  <c r="L4" i="7"/>
  <c r="M9" i="7"/>
  <c r="Q8" i="7"/>
  <c r="M8" i="7"/>
  <c r="M7" i="7"/>
  <c r="Q6" i="7"/>
  <c r="M6" i="7"/>
  <c r="M5" i="7"/>
  <c r="Q4" i="7"/>
  <c r="L4" i="6"/>
  <c r="L7" i="6"/>
  <c r="L9" i="6"/>
  <c r="L13" i="6"/>
  <c r="L15" i="6"/>
  <c r="L17" i="6"/>
  <c r="L19" i="6"/>
  <c r="L21" i="6"/>
  <c r="K7" i="6"/>
  <c r="K9" i="6"/>
  <c r="K13" i="6"/>
  <c r="K15" i="6"/>
  <c r="K17" i="6"/>
  <c r="K19" i="6"/>
  <c r="K21" i="6"/>
  <c r="J4" i="6"/>
  <c r="J7" i="6"/>
  <c r="J9" i="6"/>
  <c r="J13" i="6"/>
  <c r="J15" i="6"/>
  <c r="J17" i="6"/>
  <c r="J19" i="6"/>
  <c r="J21" i="6"/>
  <c r="I4" i="6"/>
  <c r="I7" i="6"/>
  <c r="I9" i="6"/>
  <c r="I13" i="6"/>
  <c r="I15" i="6"/>
  <c r="I17" i="6"/>
  <c r="I19" i="6"/>
  <c r="I21" i="6"/>
  <c r="H4" i="6"/>
  <c r="H7" i="6"/>
  <c r="H9" i="6"/>
  <c r="H13" i="6"/>
  <c r="H15" i="6"/>
  <c r="H17" i="6"/>
  <c r="H19" i="6"/>
  <c r="H21" i="6"/>
  <c r="G4" i="6"/>
  <c r="G7" i="6"/>
  <c r="G9" i="6"/>
  <c r="G13" i="6"/>
  <c r="G15" i="6"/>
  <c r="G17" i="6"/>
  <c r="G19" i="6"/>
  <c r="G21" i="6"/>
  <c r="F4" i="6"/>
  <c r="F7" i="6"/>
  <c r="F9" i="6"/>
  <c r="F13" i="6"/>
  <c r="F15" i="6"/>
  <c r="F17" i="6"/>
  <c r="F19" i="6"/>
  <c r="F21" i="6"/>
  <c r="E4" i="6"/>
  <c r="E7" i="6"/>
  <c r="E9" i="6"/>
  <c r="E13" i="6"/>
  <c r="E15" i="6"/>
  <c r="E17" i="6"/>
  <c r="E19" i="6"/>
  <c r="E21" i="6"/>
  <c r="D4" i="6"/>
  <c r="D7" i="6"/>
  <c r="D9" i="6"/>
  <c r="D13" i="6"/>
  <c r="D15" i="6"/>
  <c r="D17" i="6"/>
  <c r="D19" i="6"/>
  <c r="D21" i="6"/>
  <c r="C4" i="6"/>
  <c r="C7" i="6"/>
  <c r="C9" i="6"/>
  <c r="C13" i="6"/>
  <c r="C15" i="6"/>
  <c r="C17" i="6"/>
  <c r="C19" i="6"/>
  <c r="C21" i="6"/>
  <c r="C9" i="4"/>
  <c r="S6" i="4"/>
  <c r="D9" i="2"/>
  <c r="DS5" i="8" l="1"/>
  <c r="AD5" i="15"/>
  <c r="BK20" i="19"/>
  <c r="BK21" i="19"/>
  <c r="BF31" i="19"/>
  <c r="BE17" i="19"/>
  <c r="BC36" i="19"/>
  <c r="BK36" i="19" s="1"/>
  <c r="AN22" i="15"/>
  <c r="AT25" i="15"/>
  <c r="AV25" i="15"/>
  <c r="AX25" i="15"/>
  <c r="AZ25" i="15"/>
  <c r="R4" i="19"/>
  <c r="BK14" i="19"/>
  <c r="BI32" i="19"/>
  <c r="BF17" i="19"/>
  <c r="BE36" i="19"/>
  <c r="R38" i="19"/>
  <c r="R10" i="19"/>
  <c r="U25" i="14"/>
  <c r="J25" i="15"/>
  <c r="K25" i="15"/>
  <c r="P25" i="15"/>
  <c r="R25" i="15"/>
  <c r="BI12" i="19"/>
  <c r="AK4" i="19"/>
  <c r="BC38" i="19"/>
  <c r="D25" i="13"/>
  <c r="F25" i="13"/>
  <c r="BK32" i="19"/>
  <c r="BK35" i="19"/>
  <c r="BE29" i="19"/>
  <c r="DS10" i="8"/>
  <c r="BB10" i="15"/>
  <c r="BH21" i="19"/>
  <c r="BG42" i="19"/>
  <c r="BK13" i="19"/>
  <c r="BH28" i="19"/>
  <c r="O31" i="19"/>
  <c r="BZ5" i="8"/>
  <c r="CD5" i="8" s="1"/>
  <c r="BZ20" i="8"/>
  <c r="CD20" i="8" s="1"/>
  <c r="DS14" i="8"/>
  <c r="R25" i="8"/>
  <c r="BZ14" i="8"/>
  <c r="CD14" i="8" s="1"/>
  <c r="DN14" i="8"/>
  <c r="BI25" i="15"/>
  <c r="BK18" i="19"/>
  <c r="BK22" i="19"/>
  <c r="BK25" i="19"/>
  <c r="BK30" i="19"/>
  <c r="BF29" i="19"/>
  <c r="BF38" i="19"/>
  <c r="AK10" i="19"/>
  <c r="I38" i="24"/>
  <c r="J31" i="24" s="1"/>
  <c r="Z25" i="37"/>
  <c r="AB25" i="37"/>
  <c r="BL25" i="8"/>
  <c r="CM9" i="8" s="1"/>
  <c r="BP25" i="8"/>
  <c r="CM13" i="8" s="1"/>
  <c r="J25" i="8"/>
  <c r="AE13" i="8" s="1"/>
  <c r="AS25" i="8"/>
  <c r="BR25" i="8"/>
  <c r="CM15" i="8" s="1"/>
  <c r="BX25" i="8"/>
  <c r="O25" i="11"/>
  <c r="Q25" i="11"/>
  <c r="T25" i="11"/>
  <c r="AD22" i="15"/>
  <c r="BK5" i="19"/>
  <c r="BI15" i="19"/>
  <c r="BH26" i="19"/>
  <c r="R31" i="19"/>
  <c r="BS31" i="19"/>
  <c r="BK39" i="19"/>
  <c r="BG29" i="19"/>
  <c r="P10" i="19"/>
  <c r="BE40" i="19"/>
  <c r="BC17" i="19"/>
  <c r="BH17" i="19" s="1"/>
  <c r="Q45" i="19"/>
  <c r="I24" i="9"/>
  <c r="U24" i="9"/>
  <c r="M25" i="10"/>
  <c r="N25" i="10"/>
  <c r="W25" i="11"/>
  <c r="AH24" i="14"/>
  <c r="AL25" i="15"/>
  <c r="BI11" i="19"/>
  <c r="BH14" i="19"/>
  <c r="BR31" i="19"/>
  <c r="BI37" i="19"/>
  <c r="BE34" i="19"/>
  <c r="AK17" i="19"/>
  <c r="AJ45" i="19"/>
  <c r="J24" i="6"/>
  <c r="BQ31" i="19"/>
  <c r="AH42" i="19"/>
  <c r="J45" i="19"/>
  <c r="BJ25" i="8"/>
  <c r="CM7" i="8" s="1"/>
  <c r="BV25" i="8"/>
  <c r="CM19" i="8" s="1"/>
  <c r="K24" i="6"/>
  <c r="DS20" i="8"/>
  <c r="AM25" i="15"/>
  <c r="BI14" i="19"/>
  <c r="BI16" i="19"/>
  <c r="BH30" i="19"/>
  <c r="BP31" i="19"/>
  <c r="O38" i="19"/>
  <c r="BI44" i="19"/>
  <c r="BF34" i="19"/>
  <c r="BZ18" i="8"/>
  <c r="CD18" i="8" s="1"/>
  <c r="AT24" i="14"/>
  <c r="BB4" i="14" s="1"/>
  <c r="BB11" i="14" s="1"/>
  <c r="BO31" i="19"/>
  <c r="P38" i="19"/>
  <c r="BH39" i="19"/>
  <c r="BI43" i="19"/>
  <c r="Y25" i="37"/>
  <c r="E24" i="14"/>
  <c r="AI24" i="14"/>
  <c r="X25" i="15"/>
  <c r="Z25" i="15"/>
  <c r="AB25" i="15"/>
  <c r="BH13" i="19"/>
  <c r="BH22" i="19"/>
  <c r="BI28" i="19"/>
  <c r="BN31" i="19"/>
  <c r="BF23" i="19"/>
  <c r="BF36" i="19"/>
  <c r="BJ38" i="19"/>
  <c r="BK38" i="19" s="1"/>
  <c r="AO25" i="8"/>
  <c r="BB8" i="8" s="1"/>
  <c r="AQ25" i="8"/>
  <c r="BB10" i="8" s="1"/>
  <c r="BS25" i="8"/>
  <c r="CM16" i="8" s="1"/>
  <c r="BU25" i="8"/>
  <c r="CM18" i="8" s="1"/>
  <c r="C24" i="14"/>
  <c r="F24" i="14"/>
  <c r="T25" i="14"/>
  <c r="AH25" i="15"/>
  <c r="AJ25" i="15"/>
  <c r="BG25" i="15"/>
  <c r="BI8" i="19"/>
  <c r="BI19" i="19"/>
  <c r="BI27" i="19"/>
  <c r="BK23" i="19"/>
  <c r="J33" i="24"/>
  <c r="D28" i="27"/>
  <c r="F28" i="27"/>
  <c r="D34" i="34"/>
  <c r="F34" i="34"/>
  <c r="H24" i="6"/>
  <c r="BY25" i="8"/>
  <c r="S25" i="8"/>
  <c r="AE24" i="8" s="1"/>
  <c r="H24" i="9"/>
  <c r="H9" i="14"/>
  <c r="D24" i="14"/>
  <c r="G24" i="14"/>
  <c r="Z24" i="14"/>
  <c r="AB24" i="14"/>
  <c r="AG24" i="14"/>
  <c r="F25" i="15"/>
  <c r="BX5" i="15" s="1"/>
  <c r="BF25" i="15"/>
  <c r="BK25" i="15"/>
  <c r="BM25" i="15"/>
  <c r="BO25" i="15"/>
  <c r="BP5" i="15"/>
  <c r="BI6" i="19"/>
  <c r="BK8" i="19"/>
  <c r="BK11" i="19"/>
  <c r="BK27" i="19"/>
  <c r="AH31" i="19"/>
  <c r="BH37" i="19"/>
  <c r="M45" i="19"/>
  <c r="BE10" i="19"/>
  <c r="BE31" i="19"/>
  <c r="BI31" i="19" s="1"/>
  <c r="BK31" i="19"/>
  <c r="J34" i="24"/>
  <c r="E28" i="27"/>
  <c r="E34" i="34"/>
  <c r="G15" i="34"/>
  <c r="E24" i="46"/>
  <c r="BW25" i="8"/>
  <c r="EA8" i="8" s="1"/>
  <c r="CR25" i="8"/>
  <c r="CY6" i="8" s="1"/>
  <c r="C25" i="8"/>
  <c r="D25" i="8"/>
  <c r="AE7" i="8" s="1"/>
  <c r="E25" i="8"/>
  <c r="AE8" i="8" s="1"/>
  <c r="F25" i="8"/>
  <c r="AE9" i="8" s="1"/>
  <c r="G25" i="8"/>
  <c r="H25" i="8"/>
  <c r="AE11" i="8" s="1"/>
  <c r="I25" i="8"/>
  <c r="K25" i="8"/>
  <c r="G24" i="9"/>
  <c r="Q25" i="10"/>
  <c r="C25" i="13"/>
  <c r="Y24" i="14"/>
  <c r="AA24" i="14"/>
  <c r="AC24" i="14"/>
  <c r="AK24" i="14"/>
  <c r="AP24" i="14"/>
  <c r="BB5" i="14" s="1"/>
  <c r="AR24" i="14"/>
  <c r="BB7" i="14" s="1"/>
  <c r="BB22" i="15"/>
  <c r="BJ25" i="15"/>
  <c r="BL25" i="15"/>
  <c r="BN25" i="15"/>
  <c r="BH7" i="19"/>
  <c r="BI13" i="19"/>
  <c r="BH15" i="19"/>
  <c r="P17" i="19"/>
  <c r="BH18" i="19"/>
  <c r="AH23" i="19"/>
  <c r="BI25" i="19"/>
  <c r="AI31" i="19"/>
  <c r="BH32" i="19"/>
  <c r="BG4" i="19"/>
  <c r="BG34" i="19"/>
  <c r="P23" i="19"/>
  <c r="BC10" i="19"/>
  <c r="BJ10" i="19"/>
  <c r="BJ29" i="19"/>
  <c r="BJ42" i="19"/>
  <c r="J27" i="24"/>
  <c r="J35" i="24"/>
  <c r="O25" i="8"/>
  <c r="AE19" i="8" s="1"/>
  <c r="T25" i="8"/>
  <c r="AE25" i="8" s="1"/>
  <c r="F24" i="9"/>
  <c r="V25" i="11"/>
  <c r="AJ24" i="14"/>
  <c r="AL24" i="14"/>
  <c r="AQ24" i="14"/>
  <c r="BB6" i="14" s="1"/>
  <c r="O25" i="14"/>
  <c r="Q25" i="14"/>
  <c r="S25" i="14"/>
  <c r="BK9" i="19"/>
  <c r="BI20" i="19"/>
  <c r="BI22" i="19"/>
  <c r="AI23" i="19"/>
  <c r="BH41" i="19"/>
  <c r="BG36" i="19"/>
  <c r="BH36" i="19" s="1"/>
  <c r="BF42" i="19"/>
  <c r="O17" i="19"/>
  <c r="J4" i="24"/>
  <c r="J12" i="24"/>
  <c r="J20" i="24"/>
  <c r="J28" i="24"/>
  <c r="J36" i="24"/>
  <c r="G28" i="27"/>
  <c r="G24" i="6"/>
  <c r="F24" i="6"/>
  <c r="AD14" i="8"/>
  <c r="E24" i="6"/>
  <c r="C24" i="6"/>
  <c r="D24" i="6"/>
  <c r="I24" i="6"/>
  <c r="L24" i="6"/>
  <c r="N25" i="8"/>
  <c r="AE18" i="8" s="1"/>
  <c r="W25" i="8"/>
  <c r="AM25" i="8"/>
  <c r="BB6" i="8" s="1"/>
  <c r="BN25" i="8"/>
  <c r="CM11" i="8" s="1"/>
  <c r="C24" i="9"/>
  <c r="E24" i="9"/>
  <c r="P25" i="10"/>
  <c r="N25" i="14"/>
  <c r="BM4" i="14" s="1"/>
  <c r="P25" i="14"/>
  <c r="BM6" i="14" s="1"/>
  <c r="BN6" i="14" s="1"/>
  <c r="R25" i="14"/>
  <c r="C25" i="15"/>
  <c r="E25" i="15"/>
  <c r="T25" i="15"/>
  <c r="AN10" i="15"/>
  <c r="AS25" i="15"/>
  <c r="O4" i="19"/>
  <c r="BH16" i="19"/>
  <c r="BI39" i="19"/>
  <c r="BI41" i="19"/>
  <c r="O10" i="19"/>
  <c r="J29" i="24"/>
  <c r="H28" i="27"/>
  <c r="G22" i="34"/>
  <c r="AL25" i="8"/>
  <c r="AU25" i="8"/>
  <c r="CQ25" i="8"/>
  <c r="CY5" i="8" s="1"/>
  <c r="U25" i="8"/>
  <c r="AE26" i="8" s="1"/>
  <c r="Q25" i="8"/>
  <c r="AE21" i="8" s="1"/>
  <c r="D24" i="9"/>
  <c r="L25" i="10"/>
  <c r="O25" i="10"/>
  <c r="U25" i="11"/>
  <c r="D25" i="15"/>
  <c r="O25" i="15"/>
  <c r="Q25" i="15"/>
  <c r="S25" i="15"/>
  <c r="AR25" i="15"/>
  <c r="BA25" i="15"/>
  <c r="BP10" i="15"/>
  <c r="BP25" i="15" s="1"/>
  <c r="P4" i="19"/>
  <c r="BI7" i="19"/>
  <c r="BH12" i="19"/>
  <c r="BI18" i="19"/>
  <c r="BI21" i="19"/>
  <c r="BI24" i="19"/>
  <c r="BI26" i="19"/>
  <c r="BK28" i="19"/>
  <c r="BH44" i="19"/>
  <c r="BG10" i="19"/>
  <c r="BG38" i="19"/>
  <c r="BH38" i="19" s="1"/>
  <c r="BF4" i="19"/>
  <c r="BC34" i="19"/>
  <c r="AC45" i="19"/>
  <c r="AK45" i="19" s="1"/>
  <c r="BJ17" i="19"/>
  <c r="BK17" i="19" s="1"/>
  <c r="J30" i="24"/>
  <c r="C34" i="34"/>
  <c r="C24" i="7"/>
  <c r="M4" i="7" s="1"/>
  <c r="K4" i="7" s="1"/>
  <c r="K10" i="7" s="1"/>
  <c r="M10" i="7" s="1"/>
  <c r="M25" i="8"/>
  <c r="AE17" i="8" s="1"/>
  <c r="BK25" i="8"/>
  <c r="CM8" i="8" s="1"/>
  <c r="BM25" i="8"/>
  <c r="CM10" i="8" s="1"/>
  <c r="BO25" i="8"/>
  <c r="CM12" i="8" s="1"/>
  <c r="BQ25" i="8"/>
  <c r="CM14" i="8" s="1"/>
  <c r="BT25" i="8"/>
  <c r="CM17" i="8" s="1"/>
  <c r="P25" i="11"/>
  <c r="R25" i="11"/>
  <c r="S25" i="11"/>
  <c r="E25" i="13"/>
  <c r="AS24" i="14"/>
  <c r="BB8" i="14" s="1"/>
  <c r="Y25" i="15"/>
  <c r="AA25" i="15"/>
  <c r="AC25" i="15"/>
  <c r="AI25" i="15"/>
  <c r="AK25" i="15"/>
  <c r="AN5" i="15"/>
  <c r="AU25" i="15"/>
  <c r="AW25" i="15"/>
  <c r="AY25" i="15"/>
  <c r="BH25" i="15"/>
  <c r="BH8" i="19"/>
  <c r="BH11" i="19"/>
  <c r="BH19" i="19"/>
  <c r="BH25" i="19"/>
  <c r="P31" i="19"/>
  <c r="BI35" i="19"/>
  <c r="BK37" i="19"/>
  <c r="BK44" i="19"/>
  <c r="N45" i="19"/>
  <c r="AH4" i="19"/>
  <c r="BC4" i="19"/>
  <c r="BK4" i="19" s="1"/>
  <c r="BC29" i="19"/>
  <c r="BI29" i="19" s="1"/>
  <c r="BJ34" i="19"/>
  <c r="J8" i="24"/>
  <c r="J16" i="24"/>
  <c r="J24" i="24"/>
  <c r="C28" i="27"/>
  <c r="G8" i="34"/>
  <c r="E9" i="35"/>
  <c r="AA25" i="37"/>
  <c r="AC25" i="37"/>
  <c r="P25" i="8"/>
  <c r="H24" i="14"/>
  <c r="BB14" i="14" s="1"/>
  <c r="BB12" i="14"/>
  <c r="BB13" i="14" s="1"/>
  <c r="V25" i="8"/>
  <c r="BJ45" i="19"/>
  <c r="DZ17" i="8"/>
  <c r="AN25" i="8"/>
  <c r="BB7" i="8" s="1"/>
  <c r="AP25" i="8"/>
  <c r="BH23" i="19"/>
  <c r="BI17" i="19"/>
  <c r="J37" i="24"/>
  <c r="AR25" i="8"/>
  <c r="BB25" i="15"/>
  <c r="BH10" i="19"/>
  <c r="BK10" i="19"/>
  <c r="L25" i="8"/>
  <c r="AE16" i="8" s="1"/>
  <c r="AT25" i="8"/>
  <c r="BB11" i="8" s="1"/>
  <c r="BI25" i="8"/>
  <c r="CM6" i="8" s="1"/>
  <c r="BI23" i="19"/>
  <c r="J23" i="24"/>
  <c r="J19" i="24"/>
  <c r="J15" i="24"/>
  <c r="J11" i="24"/>
  <c r="J7" i="24"/>
  <c r="J38" i="24"/>
  <c r="J26" i="24"/>
  <c r="J22" i="24"/>
  <c r="J18" i="24"/>
  <c r="J14" i="24"/>
  <c r="J10" i="24"/>
  <c r="J6" i="24"/>
  <c r="J25" i="24"/>
  <c r="J21" i="24"/>
  <c r="J17" i="24"/>
  <c r="J13" i="24"/>
  <c r="J9" i="24"/>
  <c r="J5" i="24"/>
  <c r="AD25" i="15"/>
  <c r="AN25" i="15"/>
  <c r="BK34" i="19"/>
  <c r="J32" i="24"/>
  <c r="R17" i="19"/>
  <c r="BK19" i="19"/>
  <c r="O23" i="19"/>
  <c r="BK26" i="19"/>
  <c r="BI36" i="19"/>
  <c r="BK41" i="19"/>
  <c r="BF10" i="19"/>
  <c r="BI10" i="19" s="1"/>
  <c r="BF40" i="19"/>
  <c r="BC42" i="19"/>
  <c r="BK42" i="19" s="1"/>
  <c r="AI4" i="19"/>
  <c r="BH9" i="19"/>
  <c r="AH17" i="19"/>
  <c r="BH20" i="19"/>
  <c r="BH27" i="19"/>
  <c r="BH35" i="19"/>
  <c r="H4" i="14"/>
  <c r="BK7" i="19"/>
  <c r="BI9" i="19"/>
  <c r="AI17" i="19"/>
  <c r="BH43" i="19"/>
  <c r="AG45" i="19"/>
  <c r="I4" i="14"/>
  <c r="O42" i="19"/>
  <c r="AF45" i="19"/>
  <c r="BH5" i="19"/>
  <c r="AH10" i="19"/>
  <c r="P42" i="19"/>
  <c r="L45" i="19"/>
  <c r="O45" i="19" s="1"/>
  <c r="AE45" i="19"/>
  <c r="BI5" i="19"/>
  <c r="AI10" i="19"/>
  <c r="AK23" i="19"/>
  <c r="R42" i="19"/>
  <c r="BE42" i="19"/>
  <c r="BC40" i="19"/>
  <c r="BH40" i="19" s="1"/>
  <c r="DO25" i="8" l="1"/>
  <c r="EA11" i="8"/>
  <c r="BB9" i="8"/>
  <c r="BB5" i="8" s="1"/>
  <c r="BB12" i="8" s="1"/>
  <c r="DQ25" i="8"/>
  <c r="BZ25" i="8"/>
  <c r="CD25" i="8" s="1"/>
  <c r="EA16" i="8"/>
  <c r="AE20" i="8"/>
  <c r="BI4" i="19"/>
  <c r="AE27" i="8"/>
  <c r="AE28" i="8" s="1"/>
  <c r="BI38" i="19"/>
  <c r="R45" i="19"/>
  <c r="AI45" i="19"/>
  <c r="BH34" i="19"/>
  <c r="G34" i="34"/>
  <c r="BM5" i="14"/>
  <c r="BH4" i="19"/>
  <c r="BH29" i="19"/>
  <c r="BN5" i="14"/>
  <c r="DR25" i="8"/>
  <c r="BH31" i="19"/>
  <c r="EA15" i="8"/>
  <c r="BG45" i="19"/>
  <c r="BQ12" i="14"/>
  <c r="BQ11" i="14" s="1"/>
  <c r="DS25" i="8"/>
  <c r="DP25" i="8"/>
  <c r="AE10" i="8"/>
  <c r="BN4" i="14"/>
  <c r="BX8" i="15"/>
  <c r="BF45" i="19"/>
  <c r="BK29" i="19"/>
  <c r="DN25" i="8"/>
  <c r="BI34" i="19"/>
  <c r="AE12" i="8"/>
  <c r="EA9" i="8"/>
  <c r="CY7" i="8"/>
  <c r="DM25" i="8"/>
  <c r="DL25" i="8"/>
  <c r="EA10" i="8"/>
  <c r="P45" i="19"/>
  <c r="AH45" i="19"/>
  <c r="BI40" i="19"/>
  <c r="BK40" i="19"/>
  <c r="BX9" i="15"/>
  <c r="BE45" i="19"/>
  <c r="BH42" i="19"/>
  <c r="BI42" i="19"/>
  <c r="BC45" i="19"/>
  <c r="EA17" i="8" l="1"/>
  <c r="AE14" i="8"/>
  <c r="BI45" i="19"/>
  <c r="BH45" i="19"/>
  <c r="BK45" i="19"/>
</calcChain>
</file>

<file path=xl/sharedStrings.xml><?xml version="1.0" encoding="utf-8"?>
<sst xmlns="http://schemas.openxmlformats.org/spreadsheetml/2006/main" count="3400" uniqueCount="1289">
  <si>
    <t xml:space="preserve">BUSINESS ETHICS AND TRANSPARENCY: COMPLIANCE AND SIGNIFICANT EVENTS </t>
  </si>
  <si>
    <t xml:space="preserve">Site </t>
  </si>
  <si>
    <t xml:space="preserve">Authority </t>
  </si>
  <si>
    <r>
      <rPr>
        <b/>
        <sz val="10"/>
        <color rgb="FF000000"/>
        <rFont val="Arial"/>
      </rPr>
      <t>Amount ($USD)</t>
    </r>
    <r>
      <rPr>
        <b/>
        <vertAlign val="superscript"/>
        <sz val="10"/>
        <color rgb="FF000000"/>
        <rFont val="Arial"/>
      </rPr>
      <t>1,</t>
    </r>
    <r>
      <rPr>
        <b/>
        <vertAlign val="superscript"/>
        <sz val="10"/>
        <color rgb="FF000000"/>
        <rFont val="Arial"/>
      </rPr>
      <t>2</t>
    </r>
  </si>
  <si>
    <t>Summary of issue</t>
  </si>
  <si>
    <t>Site</t>
  </si>
  <si>
    <t>Authority</t>
  </si>
  <si>
    <r>
      <rPr>
        <b/>
        <sz val="10"/>
        <color rgb="FF000000"/>
        <rFont val="Arial"/>
      </rPr>
      <t>Amount ($USD)</t>
    </r>
    <r>
      <rPr>
        <b/>
        <vertAlign val="superscript"/>
        <sz val="10"/>
        <color rgb="FF000000"/>
        <rFont val="Arial"/>
      </rPr>
      <t>3</t>
    </r>
  </si>
  <si>
    <t>Level of Event</t>
  </si>
  <si>
    <t>Summary of Issue</t>
  </si>
  <si>
    <t>Environmental-related fine</t>
  </si>
  <si>
    <t>Cerro Negro</t>
  </si>
  <si>
    <t>Secretaría de Estado de Minería de la Provincia de Santa Cruz</t>
  </si>
  <si>
    <t>In October 2020, the Ministry of Mining conducted an inspection at Cerro Negro, and within its report it found re-circulation pools that were used for exploration activities that were not authorized under the current permits. The Secretariat of the Province of Santa Cruz fined the operation for conducting activities not allowed and ordered the operation to develop a plan to close the pools and establish alternative methodologies.</t>
  </si>
  <si>
    <t>Tanami</t>
  </si>
  <si>
    <t>Central Land Council</t>
  </si>
  <si>
    <t>N/A</t>
  </si>
  <si>
    <t xml:space="preserve">Completed the following actions related to a  2019 Restricted Work Area breach:
 - Issued formal apology from Newmont leadership to the Traditional Owners at the 2020 Traditional Liaison Committee Meeting
 - Completed fencing and rehab work and converted Restricted Work Area 1 (RWA1) into Exclusion Zone No. 7 (EZ7) to prevent further access
 Committed to completing area inspection with Traditional Owners (still pending) in alignment with other site visit activities
</t>
  </si>
  <si>
    <t>Loss of refinery sump pump during power outage</t>
  </si>
  <si>
    <t>CC&amp;V</t>
  </si>
  <si>
    <t>Yanacocha</t>
  </si>
  <si>
    <t>National Forestry and Wildlife Service (SERFOR)</t>
  </si>
  <si>
    <r>
      <rPr>
        <sz val="10"/>
        <color rgb="FF000000"/>
        <rFont val="Arial"/>
      </rPr>
      <t>Peru’s National Forestry and Wildlife Service issued Yanacocha a small fine for conducting biodiversity monitoring activities without a permit during the 2017 dry season. Management has reinforced training to ensure permits are received prior to conducting activities.</t>
    </r>
  </si>
  <si>
    <r>
      <rPr>
        <vertAlign val="superscript"/>
        <sz val="8"/>
        <color rgb="FF000000"/>
        <rFont val="Arial"/>
      </rPr>
      <t xml:space="preserve">1 </t>
    </r>
    <r>
      <rPr>
        <sz val="8"/>
        <color rgb="FF000000"/>
        <rFont val="Arial"/>
      </rPr>
      <t xml:space="preserve">GRI Standards disclosures GRI 307-7: Non-compliance with environmental laws and regulations and GRI 419-1: Non-compliance with laws and regulations in the social and economic area.
</t>
    </r>
    <r>
      <rPr>
        <vertAlign val="superscript"/>
        <sz val="8"/>
        <color rgb="FF000000"/>
        <rFont val="Arial"/>
      </rPr>
      <t/>
    </r>
  </si>
  <si>
    <t>Process solution spill</t>
  </si>
  <si>
    <t>Peñasquito</t>
  </si>
  <si>
    <t>On January 4, 2020, approximately 120 liters of 830 ppm WAD cyanide solution overflowed secondary containment and spilled onto the ground due to a power failure within the processing plant. The spillage was contained within the processing plant area, and material was neutralized and cleaned up.</t>
  </si>
  <si>
    <t>Environmental Assessment and Auditing Government Body (OEFA)</t>
  </si>
  <si>
    <t xml:space="preserve">Yanacocha was fined for non-compliance in 2017 of the Environmental Management Study. In one case, Yanacocha did not carry out the required maintenance activities during the post-closure stage for the Maqui Maqui North Pit. The other matter involved Yanacocha not carrying out the required biological maintenance activities during the post-closure stage for the San José Waste Disposal Deposit (eastern zone). </t>
  </si>
  <si>
    <t>Porcupine</t>
  </si>
  <si>
    <t>On January 10, 2020, approximately 65 cubic meters (m3) of process solution with a WAD cyanide concentration of 3.62 ppm spilled out of secondary containment. The spill was due to a valve failure on the return line between the crusher and the mill. The spillage was contained and remainder was cleaned up.</t>
  </si>
  <si>
    <t>Yanacocha was fined for not having sufficient freeboard in the facility in 2018, which is an Environmental Management Study requirement.</t>
  </si>
  <si>
    <t>Sanitary sewage spill</t>
  </si>
  <si>
    <t>On September 27, 2020, approximately 1,000 liters of sewage spilled out of secondary containment due to a plugged discharge line and excess water from inclement weather. The materials was cleaned up.</t>
  </si>
  <si>
    <t>Yanacocha was fined for not having in place adequate measures to prevent a barren (CN) solution spill in 2018 from a booster tank (located at kilometer 45 on the service access road) and reverse osmosis tank located in the plant.</t>
  </si>
  <si>
    <t>Process water spill</t>
  </si>
  <si>
    <t>On October 24, 2020, approximately 37 cubic meters (m3) of process water, with concentration of less than 0.5ppm WAD cyanide, spilled out of secondary containment due to an open drain valve. The material was cleaned up.</t>
  </si>
  <si>
    <t>Total fines</t>
  </si>
  <si>
    <t>Low pH Discharge</t>
  </si>
  <si>
    <r>
      <rPr>
        <vertAlign val="superscript"/>
        <sz val="8"/>
        <color rgb="FF000000"/>
        <rFont val="Arial"/>
      </rPr>
      <t>1</t>
    </r>
    <r>
      <rPr>
        <vertAlign val="superscript"/>
        <sz val="8"/>
        <color rgb="FF000000"/>
        <rFont val="Arial"/>
      </rPr>
      <t xml:space="preserve"> </t>
    </r>
    <r>
      <rPr>
        <sz val="8"/>
        <color rgb="FF000000"/>
        <rFont val="Arial"/>
      </rPr>
      <t>Fines are converted to U.S. dollars using the average 20</t>
    </r>
    <r>
      <rPr>
        <sz val="8"/>
        <color rgb="FF000000"/>
        <rFont val="Arial"/>
      </rPr>
      <t>20</t>
    </r>
    <r>
      <rPr>
        <sz val="8"/>
        <color rgb="FF000000"/>
        <rFont val="Arial"/>
      </rPr>
      <t xml:space="preserve"> exchange rate for each currency as of Dec. 31, 20</t>
    </r>
    <r>
      <rPr>
        <sz val="8"/>
        <color rgb="FF000000"/>
        <rFont val="Arial"/>
      </rPr>
      <t>20</t>
    </r>
    <r>
      <rPr>
        <sz val="8"/>
        <color rgb="FF000000"/>
        <rFont val="Arial"/>
      </rPr>
      <t xml:space="preserve">. 
</t>
    </r>
    <r>
      <rPr>
        <vertAlign val="superscript"/>
        <sz val="8"/>
        <color rgb="FF000000"/>
        <rFont val="Arial"/>
      </rPr>
      <t xml:space="preserve">2 </t>
    </r>
    <r>
      <rPr>
        <sz val="8"/>
        <color rgb="FF000000"/>
        <rFont val="Arial"/>
      </rPr>
      <t xml:space="preserve">Four Yanacocha fines were given in 2020, but based on events that occurred in 2017 - 2019.
</t>
    </r>
    <r>
      <rPr>
        <vertAlign val="superscript"/>
        <sz val="8"/>
        <color rgb="FF000000"/>
        <rFont val="Arial"/>
      </rPr>
      <t>3</t>
    </r>
    <r>
      <rPr>
        <vertAlign val="superscript"/>
        <sz val="8"/>
        <color rgb="FF000000"/>
        <rFont val="Arial"/>
      </rPr>
      <t xml:space="preserve"> </t>
    </r>
    <r>
      <rPr>
        <sz val="8"/>
        <color rgb="FF000000"/>
        <rFont val="Arial"/>
      </rPr>
      <t>GRI Standards disclosures GRI 307-</t>
    </r>
    <r>
      <rPr>
        <sz val="8"/>
        <color rgb="FF000000"/>
        <rFont val="Arial"/>
      </rPr>
      <t>1</t>
    </r>
    <r>
      <rPr>
        <sz val="8"/>
        <color rgb="FF000000"/>
        <rFont val="Arial"/>
      </rPr>
      <t xml:space="preserve">: Non-compliance with environmental laws and regulations and GRI 419-1: Non-compliance with laws and regulations in the social and economic area.
</t>
    </r>
    <r>
      <rPr>
        <sz val="8"/>
        <color rgb="FF000000"/>
        <rFont val="Arial"/>
      </rPr>
      <t xml:space="preserve">
</t>
    </r>
    <r>
      <rPr>
        <sz val="8"/>
        <color rgb="FF000000"/>
        <rFont val="Arial"/>
      </rPr>
      <t xml:space="preserve">
</t>
    </r>
    <r>
      <rPr>
        <sz val="8"/>
        <color rgb="FF000000"/>
        <rFont val="Arial"/>
      </rPr>
      <t/>
    </r>
  </si>
  <si>
    <t>Impact to Culturally Significant Site</t>
  </si>
  <si>
    <t>Ahafo</t>
  </si>
  <si>
    <t>We identified incomplete mapping and record management of known and relocated cultural sites at our Ahafo operation in Ghana. Because our records were not accurate in late-2020, we initially believed we had impacted a site that, in fact, had been relocated around 10 years ago. We engaged the community in a manner as if we had impacted the site, providing compensation and participating in pacification rituals led by the local Traditional Authority. We are working with the local Traditional Authority to undertake a region-wide review of cultural site information to ensure its accuracy and stronger collaboration going forward.</t>
  </si>
  <si>
    <t>Discharge Exceedance</t>
  </si>
  <si>
    <t>Cajamarca</t>
  </si>
  <si>
    <t>In October 2020, Newmont's Site Water Steering Committee approved the increase of the discharge flows above the maximum authorized by the water authority (ANA) at the DCP4B location in Grande Basin from 95 liters per second (l/s) to 200 l/s. The decision was made due to limited rainfall and water availability to downstream users. The increased discharge flow was communicated to water authorities and planned to remain in place until the beginning of the wet season and when increased natural flows would ensure supply of water to Cajamarca City.</t>
  </si>
  <si>
    <t>Topsoil Stockpiled on Wetland</t>
  </si>
  <si>
    <t xml:space="preserve">In September 2020, during a review of the Sulfides Project by the Environmental Ministry, the regulator identified a non-approved topsoil stockpile which was impacting a wetland located in Encajon creek. The topsoil stockpile was related to the construction of the Chugurana 2 acid water pond, which started in July 2018 and finished in November 2018.  During construction, the topsoil was removed and stockpiled in the south area, impacting the wetland. Plans commenced for the removal of the stockpile. </t>
  </si>
  <si>
    <t>Process Water Spill</t>
  </si>
  <si>
    <t xml:space="preserve">On July 24, 2020, the discharges of treated water from La Quinua did not meet the required levels.  There was a one-hour period where no discharge occurred to DCP6 (discharge commitment point). Upon review, the site identified that both DCP3 and DCP6 fell below the minimum levels committed in the Environmental Impact Assessment (EIA). This was due to DCP6 discharge reliance on gravity feed and the capacity of pumps, which were not able to provide adequate discharge.  </t>
  </si>
  <si>
    <t>TOTAL</t>
  </si>
  <si>
    <r>
      <rPr>
        <vertAlign val="superscript"/>
        <sz val="8"/>
        <color rgb="FF000000"/>
        <rFont val="Arial"/>
      </rPr>
      <t xml:space="preserve">1 </t>
    </r>
    <r>
      <rPr>
        <sz val="8"/>
        <color rgb="FF000000"/>
        <rFont val="Arial"/>
      </rPr>
      <t xml:space="preserve">Due to acquisition activities that occurred In 2019, Newmont managed two separate event reporting systems, which are expected to be integrated in the 2020-2021 timeframe. Australia and Peru sites categorize "significant" events as those classified a level 3 or greater on a risk/impact scale of 1-5; both events were categorized as level 3 events. Sites in Argentina, Canada and Mexico utilize a separate, but comparable rating scale that also identifies "significant" events as those classified as level 3 or greater on a 1-5 risk/impact scale; the Cerro Negro and Éléonore events were classified as level 3, according to the comparable rating scale. The former Goldcorp risk/impact scale was updated in April 2019 to align it with Newmont’s event reporting system where possible.
</t>
    </r>
    <r>
      <rPr>
        <vertAlign val="superscript"/>
        <sz val="8"/>
        <color rgb="FF000000"/>
        <rFont val="Arial"/>
      </rPr>
      <t>2</t>
    </r>
    <r>
      <rPr>
        <sz val="8"/>
        <color rgb="FF000000"/>
        <rFont val="Arial"/>
      </rPr>
      <t xml:space="preserve"> </t>
    </r>
    <r>
      <rPr>
        <sz val="8"/>
        <color rgb="FF000000"/>
        <rFont val="Arial"/>
      </rPr>
      <t>GRI Standards disclosure GRI 411-1: Incidents of violations involving rights of indigenous peoples.</t>
    </r>
  </si>
  <si>
    <t>BUSINESS ETHICS AND TRANSPARENCY: ETHICS AND ANTI-CORRUPTION MEASURES</t>
  </si>
  <si>
    <r>
      <rPr>
        <b/>
        <sz val="10"/>
        <color rgb="FF000000"/>
        <rFont val="Arial"/>
      </rPr>
      <t>Total ethics matters addressed and substantiated: Trailing 5 year data</t>
    </r>
    <r>
      <rPr>
        <b/>
        <vertAlign val="superscript"/>
        <sz val="10"/>
        <color rgb="FF000000"/>
        <rFont val="Arial"/>
      </rPr>
      <t>1</t>
    </r>
  </si>
  <si>
    <r>
      <rPr>
        <b/>
        <sz val="10"/>
        <color rgb="FF000000"/>
        <rFont val="Arial"/>
      </rPr>
      <t>Number and outcomes of ethics cases opened, closed, substantiated and addressed: Trailing five year data</t>
    </r>
    <r>
      <rPr>
        <b/>
        <vertAlign val="superscript"/>
        <sz val="10"/>
        <color rgb="FF000000"/>
        <rFont val="Arial"/>
      </rPr>
      <t>1</t>
    </r>
  </si>
  <si>
    <r>
      <rPr>
        <b/>
        <sz val="10"/>
        <color rgb="FF000000"/>
        <rFont val="Arial"/>
      </rPr>
      <t xml:space="preserve">Total cases
</t>
    </r>
    <r>
      <rPr>
        <b/>
        <sz val="10"/>
        <color rgb="FF000000"/>
        <rFont val="Arial"/>
      </rPr>
      <t>addressed</t>
    </r>
    <r>
      <rPr>
        <b/>
        <vertAlign val="superscript"/>
        <sz val="10"/>
        <color rgb="FF000000"/>
        <rFont val="Arial"/>
      </rPr>
      <t>1</t>
    </r>
  </si>
  <si>
    <t>Total cases substantiated</t>
  </si>
  <si>
    <r>
      <rPr>
        <b/>
        <sz val="10"/>
        <color rgb="FF000000"/>
        <rFont val="Arial"/>
      </rPr>
      <t>Breakout of substantiated cases by outcomes</t>
    </r>
  </si>
  <si>
    <t xml:space="preserve">Number </t>
  </si>
  <si>
    <t>Percentage</t>
  </si>
  <si>
    <r>
      <rPr>
        <b/>
        <sz val="10"/>
        <color rgb="FF000000"/>
        <rFont val="Arial"/>
      </rPr>
      <t xml:space="preserve">Percentage of employees attending Newmont Code of Conduct and/or anti-corruption trainings: </t>
    </r>
    <r>
      <rPr>
        <b/>
        <sz val="10"/>
        <color rgb="FF000000"/>
        <rFont val="Arial"/>
      </rPr>
      <t>Trailing three year</t>
    </r>
    <r>
      <rPr>
        <b/>
        <sz val="10"/>
        <color rgb="FF000000"/>
        <rFont val="Arial"/>
      </rPr>
      <t xml:space="preserve"> data</t>
    </r>
    <r>
      <rPr>
        <b/>
        <vertAlign val="superscript"/>
        <sz val="10"/>
        <color rgb="FF000000"/>
        <rFont val="Arial"/>
      </rPr>
      <t>1, 2</t>
    </r>
    <r>
      <rPr>
        <b/>
        <vertAlign val="superscript"/>
        <sz val="10"/>
        <color rgb="FF000000"/>
        <rFont val="Arial"/>
      </rPr>
      <t>,</t>
    </r>
    <r>
      <rPr>
        <b/>
        <vertAlign val="superscript"/>
        <sz val="10"/>
        <color rgb="FF000000"/>
        <rFont val="Arial"/>
      </rPr>
      <t xml:space="preserve"> 3</t>
    </r>
  </si>
  <si>
    <t xml:space="preserve">Newmont does not operate in any of the countries designated among the 20 lowest rankings in the 2020 Transparency International Corruption Perception Index. </t>
  </si>
  <si>
    <t>Total matters addressed</t>
  </si>
  <si>
    <r>
      <rPr>
        <b/>
        <sz val="10"/>
        <color rgb="FF000000"/>
        <rFont val="Arial"/>
      </rPr>
      <t>Total new issues captured in the Integrity Helpline</t>
    </r>
    <r>
      <rPr>
        <b/>
        <vertAlign val="superscript"/>
        <sz val="10"/>
        <color rgb="FF000000"/>
        <rFont val="Arial"/>
      </rPr>
      <t>2</t>
    </r>
  </si>
  <si>
    <t>Recommended change of business process</t>
  </si>
  <si>
    <r>
      <rPr>
        <b/>
        <sz val="9"/>
        <color rgb="FF000000"/>
        <rFont val="Arial"/>
      </rPr>
      <t>HR-related: Employees being counseled on their actions or behavior</t>
    </r>
    <r>
      <rPr>
        <b/>
        <vertAlign val="superscript"/>
        <sz val="9"/>
        <color rgb="FF000000"/>
        <rFont val="Arial"/>
      </rPr>
      <t>2</t>
    </r>
  </si>
  <si>
    <r>
      <rPr>
        <b/>
        <sz val="9"/>
        <color rgb="FF000000"/>
        <rFont val="Arial"/>
      </rPr>
      <t>HR-related: Employee disciplinary action</t>
    </r>
    <r>
      <rPr>
        <b/>
        <vertAlign val="superscript"/>
        <sz val="9"/>
        <color rgb="FF000000"/>
        <rFont val="Arial"/>
      </rPr>
      <t>3</t>
    </r>
  </si>
  <si>
    <r>
      <rPr>
        <b/>
        <sz val="9"/>
        <color rgb="FF000000"/>
        <rFont val="Arial"/>
      </rPr>
      <t>HR-related: Employee resignation or termination</t>
    </r>
    <r>
      <rPr>
        <b/>
        <vertAlign val="superscript"/>
        <sz val="9"/>
        <color rgb="FF000000"/>
        <rFont val="Arial"/>
      </rPr>
      <t>4</t>
    </r>
  </si>
  <si>
    <t>Allegations of misconduct or inappropriate behavior</t>
  </si>
  <si>
    <r>
      <rPr>
        <sz val="10"/>
        <color rgb="FF000000"/>
        <rFont val="Arial"/>
      </rPr>
      <t>Percentage of employees attending Code of Conduct-related training</t>
    </r>
    <r>
      <rPr>
        <vertAlign val="superscript"/>
        <sz val="10"/>
        <color rgb="FF000000"/>
        <rFont val="Arial"/>
      </rPr>
      <t>2</t>
    </r>
  </si>
  <si>
    <t>Total substantiated cases</t>
  </si>
  <si>
    <r>
      <rPr>
        <b/>
        <sz val="10"/>
        <color rgb="FF000000"/>
        <rFont val="Arial"/>
      </rPr>
      <t>Total cases open at beginning of the year</t>
    </r>
    <r>
      <rPr>
        <b/>
        <vertAlign val="superscript"/>
        <sz val="10"/>
        <color rgb="FF000000"/>
        <rFont val="Arial"/>
      </rPr>
      <t>3</t>
    </r>
  </si>
  <si>
    <t>Ghana</t>
  </si>
  <si>
    <r>
      <rPr>
        <sz val="10"/>
        <color rgb="FF000000"/>
        <rFont val="Arial"/>
      </rPr>
      <t>Concerns about corruption</t>
    </r>
    <r>
      <rPr>
        <vertAlign val="superscript"/>
        <sz val="10"/>
        <color rgb="FF000000"/>
        <rFont val="Arial"/>
      </rPr>
      <t>1</t>
    </r>
  </si>
  <si>
    <r>
      <rPr>
        <vertAlign val="superscript"/>
        <sz val="8"/>
        <color rgb="FF000000"/>
        <rFont val="Arial"/>
      </rPr>
      <t>1</t>
    </r>
    <r>
      <rPr>
        <sz val="8"/>
        <color rgb="FF000000"/>
        <rFont val="Arial"/>
      </rPr>
      <t xml:space="preserve"> GRI Standards Disclosure 10</t>
    </r>
    <r>
      <rPr>
        <sz val="8"/>
        <color rgb="FF000000"/>
        <rFont val="Arial"/>
      </rPr>
      <t>3-2:</t>
    </r>
    <r>
      <rPr>
        <sz val="8"/>
        <color rgb="FF000000"/>
        <rFont val="Arial"/>
      </rPr>
      <t xml:space="preserve"> The</t>
    </r>
    <r>
      <rPr>
        <sz val="8"/>
        <color rgb="FF000000"/>
        <rFont val="Arial"/>
      </rPr>
      <t xml:space="preserve"> management</t>
    </r>
    <r>
      <rPr>
        <sz val="8"/>
        <color rgb="FF000000"/>
        <rFont val="Arial"/>
      </rPr>
      <t xml:space="preserve"> </t>
    </r>
    <r>
      <rPr>
        <sz val="8"/>
        <color rgb="FF000000"/>
        <rFont val="Arial"/>
      </rPr>
      <t>approach and its</t>
    </r>
    <r>
      <rPr>
        <sz val="8"/>
        <color rgb="FF000000"/>
        <rFont val="Arial"/>
      </rPr>
      <t xml:space="preserve"> </t>
    </r>
    <r>
      <rPr>
        <sz val="8"/>
        <color rgb="FF000000"/>
        <rFont val="Arial"/>
      </rPr>
      <t>components</t>
    </r>
  </si>
  <si>
    <r>
      <rPr>
        <b/>
        <sz val="10"/>
        <color rgb="FF000000"/>
        <rFont val="Arial"/>
      </rPr>
      <t>Total matters closed at year end</t>
    </r>
    <r>
      <rPr>
        <b/>
        <vertAlign val="superscript"/>
        <sz val="10"/>
        <color rgb="FF000000"/>
        <rFont val="Arial"/>
      </rPr>
      <t>4</t>
    </r>
  </si>
  <si>
    <t>Australia</t>
  </si>
  <si>
    <t>Inquiries</t>
  </si>
  <si>
    <r>
      <rPr>
        <b/>
        <sz val="10"/>
        <color rgb="FF000000"/>
        <rFont val="Arial"/>
      </rPr>
      <t>Total number matters remained open at year end</t>
    </r>
    <r>
      <rPr>
        <b/>
        <vertAlign val="superscript"/>
        <sz val="10"/>
        <color rgb="FF000000"/>
        <rFont val="Arial"/>
      </rPr>
      <t>5</t>
    </r>
  </si>
  <si>
    <t>U.S.</t>
  </si>
  <si>
    <t>Environmental health and safety regulations</t>
  </si>
  <si>
    <r>
      <rPr>
        <b/>
        <sz val="10"/>
        <color rgb="FF000000"/>
        <rFont val="Arial"/>
      </rPr>
      <t>Total substantiated cases</t>
    </r>
    <r>
      <rPr>
        <b/>
        <vertAlign val="superscript"/>
        <sz val="10"/>
        <color rgb="FF000000"/>
        <rFont val="Arial"/>
      </rPr>
      <t>6</t>
    </r>
  </si>
  <si>
    <t>Canada</t>
  </si>
  <si>
    <t>Nominations</t>
  </si>
  <si>
    <t>0 %</t>
  </si>
  <si>
    <t>Number of cases resulting in a recommended change of business process</t>
  </si>
  <si>
    <t>Mexico</t>
  </si>
  <si>
    <t xml:space="preserve">Other </t>
  </si>
  <si>
    <r>
      <rPr>
        <b/>
        <sz val="10"/>
        <color rgb="FF000000"/>
        <rFont val="Arial"/>
      </rPr>
      <t>Number of cases resulting in human resources or management actions</t>
    </r>
    <r>
      <rPr>
        <b/>
        <vertAlign val="superscript"/>
        <sz val="10"/>
        <color rgb="FF000000"/>
        <rFont val="Arial"/>
      </rPr>
      <t>7,8</t>
    </r>
  </si>
  <si>
    <t>Argentina</t>
  </si>
  <si>
    <t>Total</t>
  </si>
  <si>
    <t>100 %</t>
  </si>
  <si>
    <r>
      <rPr>
        <sz val="10"/>
        <color rgb="FF000000"/>
        <rFont val="Arial"/>
      </rPr>
      <t>Number of cases resulting in employees being counseled on their actions or behavior</t>
    </r>
    <r>
      <rPr>
        <vertAlign val="superscript"/>
        <sz val="10"/>
        <color rgb="FF000000"/>
        <rFont val="Arial"/>
      </rPr>
      <t>9</t>
    </r>
  </si>
  <si>
    <t>N/R</t>
  </si>
  <si>
    <t>Suriname</t>
  </si>
  <si>
    <r>
      <rPr>
        <vertAlign val="superscript"/>
        <sz val="8"/>
        <color rgb="FF000000"/>
        <rFont val="Arial"/>
      </rPr>
      <t>1</t>
    </r>
    <r>
      <rPr>
        <sz val="8"/>
        <color rgb="FF000000"/>
        <rFont val="Arial"/>
      </rPr>
      <t xml:space="preserve">Concerns about corruption” are defined to include the following types of matters: conflicts of interest (31 cases), improper supplier or contractor activities (23 cases), and corruption (3 cases). Newmont's Code of Conduct and Business Integrity Policy, both available at Newmont.com, outline our approach to preventing and addressing matters related to conflicts of interests, gifts, and bribery/corruption. </t>
    </r>
    <r>
      <rPr>
        <sz val="8"/>
        <color rgb="FF000000"/>
        <rFont val="Arial"/>
      </rPr>
      <t xml:space="preserve">	</t>
    </r>
  </si>
  <si>
    <t>Number of cases resulting in disciplinary action</t>
  </si>
  <si>
    <t>Peru</t>
  </si>
  <si>
    <r>
      <rPr>
        <sz val="10"/>
        <color rgb="FF000000"/>
        <rFont val="Arial"/>
      </rPr>
      <t>Number of cases resulting in employee resigning or being terminated</t>
    </r>
    <r>
      <rPr>
        <vertAlign val="superscript"/>
        <sz val="10"/>
        <color rgb="FF000000"/>
        <rFont val="Arial"/>
      </rPr>
      <t>1</t>
    </r>
    <r>
      <rPr>
        <vertAlign val="superscript"/>
        <sz val="10"/>
        <color rgb="FF000000"/>
        <rFont val="Arial"/>
      </rPr>
      <t>0</t>
    </r>
  </si>
  <si>
    <t>Chile</t>
  </si>
  <si>
    <t>Average number of days cases were closed</t>
  </si>
  <si>
    <t>French Guiana</t>
  </si>
  <si>
    <r>
      <rPr>
        <b/>
        <sz val="10"/>
        <color rgb="FF000000"/>
        <rFont val="Arial"/>
      </rPr>
      <t>Total number of unsubstantiated cases</t>
    </r>
    <r>
      <rPr>
        <b/>
        <vertAlign val="superscript"/>
        <sz val="10"/>
        <color rgb="FF000000"/>
        <rFont val="Arial"/>
      </rPr>
      <t>1</t>
    </r>
    <r>
      <rPr>
        <b/>
        <vertAlign val="superscript"/>
        <sz val="10"/>
        <color rgb="FF000000"/>
        <rFont val="Arial"/>
      </rPr>
      <t>1</t>
    </r>
  </si>
  <si>
    <t>Guatemala</t>
  </si>
  <si>
    <r>
      <rPr>
        <b/>
        <sz val="10"/>
        <color rgb="FF000000"/>
        <rFont val="Arial"/>
      </rPr>
      <t>Total matters addressed (substantiated cases + unsubstantiated cases)</t>
    </r>
    <r>
      <rPr>
        <b/>
        <vertAlign val="superscript"/>
        <sz val="10"/>
        <color rgb="FF000000"/>
        <rFont val="Arial"/>
      </rPr>
      <t>1</t>
    </r>
    <r>
      <rPr>
        <b/>
        <vertAlign val="superscript"/>
        <sz val="10"/>
        <color rgb="FF000000"/>
        <rFont val="Arial"/>
      </rPr>
      <t>2</t>
    </r>
  </si>
  <si>
    <r>
      <rPr>
        <vertAlign val="superscript"/>
        <sz val="8"/>
        <color rgb="FF000000"/>
        <rFont val="Arial"/>
      </rPr>
      <t>1</t>
    </r>
    <r>
      <rPr>
        <sz val="8"/>
        <color rgb="FF000000"/>
        <rFont val="Arial"/>
      </rPr>
      <t>C</t>
    </r>
    <r>
      <rPr>
        <sz val="8"/>
        <color rgb="FF000000"/>
        <rFont val="Arial"/>
      </rPr>
      <t xml:space="preserve">ases addressed is interpreted as all escalated allegations closed during FY 2020, regardless of when the allegation was received through the Integrity Helpline.
</t>
    </r>
    <r>
      <rPr>
        <vertAlign val="superscript"/>
        <sz val="8"/>
        <color rgb="FF000000"/>
        <rFont val="Arial"/>
      </rPr>
      <t>2</t>
    </r>
    <r>
      <rPr>
        <sz val="8"/>
        <color rgb="FF000000"/>
        <rFont val="Arial"/>
      </rPr>
      <t xml:space="preserve">Includes all instances of counselling related to escalated, substantiated allegations. One allegation can result in </t>
    </r>
    <r>
      <rPr>
        <sz val="8"/>
        <color rgb="FF000000"/>
        <rFont val="Arial"/>
      </rPr>
      <t>multiple</t>
    </r>
    <r>
      <rPr>
        <sz val="8"/>
        <color rgb="FF000000"/>
        <rFont val="Arial"/>
      </rPr>
      <t xml:space="preserve"> instances of counselling.
</t>
    </r>
    <r>
      <rPr>
        <vertAlign val="superscript"/>
        <sz val="8"/>
        <color rgb="FF000000"/>
        <rFont val="Arial"/>
      </rPr>
      <t>3</t>
    </r>
    <r>
      <rPr>
        <sz val="8"/>
        <color rgb="FF000000"/>
        <rFont val="Arial"/>
      </rPr>
      <t xml:space="preserve">Includes all instances of disciplinary action (excluding terminations) related to escalated, substantiated allegations. One allegation can result in </t>
    </r>
    <r>
      <rPr>
        <sz val="8"/>
        <color rgb="FF000000"/>
        <rFont val="Arial"/>
      </rPr>
      <t>multiple</t>
    </r>
    <r>
      <rPr>
        <sz val="8"/>
        <color rgb="FF000000"/>
        <rFont val="Arial"/>
      </rPr>
      <t xml:space="preserve"> instances of </t>
    </r>
    <r>
      <rPr>
        <sz val="8"/>
        <color rgb="FF000000"/>
        <rFont val="Arial"/>
      </rPr>
      <t>disciplinary</t>
    </r>
    <r>
      <rPr>
        <sz val="8"/>
        <color rgb="FF000000"/>
        <rFont val="Arial"/>
      </rPr>
      <t xml:space="preserve"> action.
</t>
    </r>
    <r>
      <rPr>
        <vertAlign val="superscript"/>
        <sz val="8"/>
        <color rgb="FF000000"/>
        <rFont val="Arial"/>
      </rPr>
      <t>4</t>
    </r>
    <r>
      <rPr>
        <sz val="8"/>
        <color rgb="FF000000"/>
        <rFont val="Arial"/>
      </rPr>
      <t xml:space="preserve">Includes all instances of terminations/termination equivalents related to escalated, substantiated allegations. One allegation can result in </t>
    </r>
    <r>
      <rPr>
        <sz val="8"/>
        <color rgb="FF000000"/>
        <rFont val="Arial"/>
      </rPr>
      <t>multiple</t>
    </r>
    <r>
      <rPr>
        <sz val="8"/>
        <color rgb="FF000000"/>
        <rFont val="Arial"/>
      </rPr>
      <t xml:space="preserve"> terminations.</t>
    </r>
  </si>
  <si>
    <t xml:space="preserve">BUSINESS ETHICS AND TRANSPARENCY: POLICY INFLUENCE </t>
  </si>
  <si>
    <t>Political affiliation</t>
  </si>
  <si>
    <t xml:space="preserve">Amount  </t>
  </si>
  <si>
    <t>Annual Dues</t>
  </si>
  <si>
    <t>Dues attributable to political advocacy</t>
  </si>
  <si>
    <t>Percentage attributable to political advocacy</t>
  </si>
  <si>
    <t>Donors</t>
  </si>
  <si>
    <t>Amount
Raised</t>
  </si>
  <si>
    <t>Institution/Activity</t>
  </si>
  <si>
    <t>Democratic Governors Association</t>
  </si>
  <si>
    <t>D</t>
  </si>
  <si>
    <t>National Mining Association</t>
  </si>
  <si>
    <t>Contributions</t>
  </si>
  <si>
    <r>
      <rPr>
        <sz val="10"/>
        <color rgb="FF000000"/>
        <rFont val="Arial"/>
      </rPr>
      <t>Largest Individual Contributions and Expenditures</t>
    </r>
    <r>
      <rPr>
        <vertAlign val="superscript"/>
        <sz val="10"/>
        <color rgb="FF000000"/>
        <rFont val="Arial"/>
      </rPr>
      <t>1</t>
    </r>
  </si>
  <si>
    <t>Annual total monetary contributions and expenditures: Trailing 4 years</t>
  </si>
  <si>
    <r>
      <rPr>
        <sz val="10"/>
        <color rgb="FF000000"/>
        <rFont val="Arial"/>
      </rPr>
      <t>Lobbying</t>
    </r>
    <r>
      <rPr>
        <vertAlign val="superscript"/>
        <sz val="10"/>
        <color rgb="FF000000"/>
        <rFont val="Arial"/>
      </rPr>
      <t>1</t>
    </r>
  </si>
  <si>
    <t>Nevada Mining Association PAC</t>
  </si>
  <si>
    <t>NP</t>
  </si>
  <si>
    <t>Colorado Mining Association</t>
  </si>
  <si>
    <t>Political contribrution</t>
  </si>
  <si>
    <t>Democratic Lt. Governors Association</t>
  </si>
  <si>
    <t>American Exploration &amp; Mining Association</t>
  </si>
  <si>
    <r>
      <rPr>
        <vertAlign val="superscript"/>
        <sz val="10"/>
        <color rgb="FF000000"/>
        <rFont val="Arial"/>
      </rPr>
      <t>1</t>
    </r>
    <r>
      <rPr>
        <vertAlign val="superscript"/>
        <sz val="10"/>
        <color rgb="FF000000"/>
        <rFont val="Arial"/>
      </rPr>
      <t xml:space="preserve"> </t>
    </r>
    <r>
      <rPr>
        <sz val="8"/>
        <color rgb="FF000000"/>
        <rFont val="Arial"/>
      </rPr>
      <t>I</t>
    </r>
    <r>
      <rPr>
        <sz val="8"/>
        <color rgb="FF000000"/>
        <rFont val="Arial"/>
      </rPr>
      <t xml:space="preserve">nformation publicly reported and searchable on the Federal Election Commission website at: https://www.fec.gov/data/committee/C00206672/ </t>
    </r>
  </si>
  <si>
    <r>
      <rPr>
        <sz val="10"/>
        <color rgb="FF000000"/>
        <rFont val="Arial"/>
      </rPr>
      <t>Trade associations</t>
    </r>
    <r>
      <rPr>
        <vertAlign val="superscript"/>
        <sz val="10"/>
        <color rgb="FF000000"/>
        <rFont val="Arial"/>
      </rPr>
      <t>2</t>
    </r>
  </si>
  <si>
    <t>Democratic Attorneys General Association</t>
  </si>
  <si>
    <t>Nevada Mining Association</t>
  </si>
  <si>
    <t>Michael Pieper GPA</t>
  </si>
  <si>
    <r>
      <rPr>
        <vertAlign val="superscript"/>
        <sz val="8"/>
        <color rgb="FF000000"/>
        <rFont val="Arial"/>
      </rPr>
      <t xml:space="preserve">1 </t>
    </r>
    <r>
      <rPr>
        <sz val="8"/>
        <color rgb="FF000000"/>
        <rFont val="Arial"/>
      </rPr>
      <t xml:space="preserve">Through 2018, data included only federal lobbying </t>
    </r>
    <r>
      <rPr>
        <sz val="8"/>
        <color rgb="FF000000"/>
        <rFont val="Arial"/>
      </rPr>
      <t>expenses</t>
    </r>
    <r>
      <rPr>
        <sz val="8"/>
        <color rgb="FF000000"/>
        <rFont val="Arial"/>
      </rPr>
      <t xml:space="preserve">. Beginning in 2019, data includes state and federal lobbying expenses. For 2020, $1,080,000 was spent on federal expenses and $272,400 on state lobbying expenses.
</t>
    </r>
    <r>
      <rPr>
        <vertAlign val="superscript"/>
        <sz val="8"/>
        <color rgb="FF000000"/>
        <rFont val="Arial"/>
      </rPr>
      <t>2</t>
    </r>
    <r>
      <rPr>
        <sz val="8"/>
        <color rgb="FF000000"/>
        <rFont val="Arial"/>
      </rPr>
      <t xml:space="preserve"> Through 2018 trade associations included only the portion of dues used for lobbying, and only if the lobbying expense exceeded $50,000. </t>
    </r>
    <r>
      <rPr>
        <sz val="8"/>
        <color rgb="FF000000"/>
        <rFont val="Arial"/>
      </rPr>
      <t>Beginn</t>
    </r>
    <r>
      <rPr>
        <sz val="8"/>
        <color rgb="FF000000"/>
        <rFont val="Arial"/>
      </rPr>
      <t xml:space="preserve">ing in 2019, </t>
    </r>
    <r>
      <rPr>
        <sz val="8"/>
        <color rgb="FF000000"/>
        <rFont val="Arial"/>
      </rPr>
      <t>d</t>
    </r>
    <r>
      <rPr>
        <sz val="8"/>
        <color rgb="FF000000"/>
        <rFont val="Arial"/>
      </rPr>
      <t xml:space="preserve">ata </t>
    </r>
    <r>
      <rPr>
        <sz val="8"/>
        <color rgb="FF000000"/>
        <rFont val="Arial"/>
      </rPr>
      <t>includes full dues payments for US mining trade associations.</t>
    </r>
  </si>
  <si>
    <t xml:space="preserve">Total </t>
  </si>
  <si>
    <r>
      <rPr>
        <vertAlign val="superscript"/>
        <sz val="8"/>
        <color rgb="FF000000"/>
        <rFont val="Arial"/>
      </rPr>
      <t xml:space="preserve">1 </t>
    </r>
    <r>
      <rPr>
        <sz val="8"/>
        <color rgb="FF000000"/>
        <rFont val="Arial"/>
      </rPr>
      <t>GRI Standards disclosure GRI 415-1: Political Contributions.</t>
    </r>
    <r>
      <rPr>
        <sz val="8"/>
        <color rgb="FF000000"/>
        <rFont val="Arial"/>
      </rPr>
      <t xml:space="preserve">  </t>
    </r>
  </si>
  <si>
    <r>
      <rPr>
        <vertAlign val="superscript"/>
        <sz val="8"/>
        <color rgb="FF000000"/>
        <rFont val="Arial"/>
      </rPr>
      <t xml:space="preserve">1 </t>
    </r>
    <r>
      <rPr>
        <sz val="8"/>
        <color rgb="FF000000"/>
        <rFont val="Arial"/>
      </rPr>
      <t xml:space="preserve">Newmont only makes political contributions in the U.S. and only where appropriate and allowed by law. Newmont complies with the Lobbying Disclosure Act of 1995 (Section 5) and publishes LD-2 Disclosure Forms, which are publicly available from the U.S. Secretary of the Senate, Office of Public Records (lobbyingdisclosure.house.gov) and/or the U.S. Clerk of the House of Representatives: Legislative Resource Center (senate.gov/lobby). </t>
    </r>
  </si>
  <si>
    <t>Cassidy &amp; Associates</t>
  </si>
  <si>
    <t>Main political topics in 2020</t>
  </si>
  <si>
    <t>The following are the primary policy areas in which Newmont was involved in 2020:
•	General Mining Law 
•	Strategic and critical minerals
•	Good Samaritan and other abandoned mine reclamation legislation
•	Omnibus Appropriations Act for 2021
•	Public lands, including wilderness study areas
•	USMCA
•	TRI Regulations 
•	Legislative efforts concerning tax sections of COVID relief bills
•	COVID-related operational and travel  restrictions</t>
  </si>
  <si>
    <r>
      <rPr>
        <vertAlign val="superscript"/>
        <sz val="8"/>
        <color rgb="FF000000"/>
        <rFont val="Arial"/>
      </rPr>
      <t xml:space="preserve">1 </t>
    </r>
    <r>
      <rPr>
        <sz val="8"/>
        <color rgb="FF000000"/>
        <rFont val="Arial"/>
      </rPr>
      <t>Newmont only makes political contributions in the U.S. and only where appropriate and allowed by law. Newmont complies with the Lobbying Disclosure Act of 1995 (Section 5) and publishes LD-2 Disclosure Forms, which are publicly available from the U.S. Secretary of the Senate, Office of Public Records (lobbyingdisclosure.house.gov) and/or the U.S. Clerk of the House of Representatives: Legislative Resource Center (senate.gov/lobby), and also from Newmont.com</t>
    </r>
  </si>
  <si>
    <t>ENVIRONMENT: AIR QUALITY</t>
  </si>
  <si>
    <t>Country</t>
  </si>
  <si>
    <r>
      <rPr>
        <b/>
        <sz val="10"/>
        <color rgb="FF000000"/>
        <rFont val="Arial"/>
      </rPr>
      <t>Sulphur oxides (SO</t>
    </r>
    <r>
      <rPr>
        <b/>
        <vertAlign val="subscript"/>
        <sz val="10"/>
        <color rgb="FF000000"/>
        <rFont val="Arial"/>
      </rPr>
      <t>x</t>
    </r>
    <r>
      <rPr>
        <b/>
        <sz val="10"/>
        <color rgb="FF000000"/>
        <rFont val="Arial"/>
      </rPr>
      <t>)</t>
    </r>
  </si>
  <si>
    <r>
      <rPr>
        <b/>
        <sz val="10"/>
        <color rgb="FF000000"/>
        <rFont val="Arial"/>
      </rPr>
      <t>Nitrogen oxides (NO</t>
    </r>
    <r>
      <rPr>
        <b/>
        <vertAlign val="subscript"/>
        <sz val="10"/>
        <color rgb="FF000000"/>
        <rFont val="Arial"/>
      </rPr>
      <t>x</t>
    </r>
    <r>
      <rPr>
        <b/>
        <sz val="10"/>
        <color rgb="FF000000"/>
        <rFont val="Arial"/>
      </rPr>
      <t>)</t>
    </r>
  </si>
  <si>
    <r>
      <rPr>
        <b/>
        <sz val="10"/>
        <color rgb="FF000000"/>
        <rFont val="Arial"/>
      </rPr>
      <t>Particulate matter (PM10)</t>
    </r>
  </si>
  <si>
    <t>Carbon monoxide (CO)</t>
  </si>
  <si>
    <t>Mercury (Hg)</t>
  </si>
  <si>
    <t>Arsenic (As)</t>
  </si>
  <si>
    <t>Lead (Pb)</t>
  </si>
  <si>
    <t>Selenium (Se)</t>
  </si>
  <si>
    <t>Persistent organic pollutants (POPs)</t>
  </si>
  <si>
    <t>Volatile organic compounds (VOCs)</t>
  </si>
  <si>
    <t>Units</t>
  </si>
  <si>
    <t>AFRICA</t>
  </si>
  <si>
    <r>
      <rPr>
        <sz val="10"/>
        <color rgb="FF000000"/>
        <rFont val="Arial"/>
      </rPr>
      <t>Sulphur oxides (SO</t>
    </r>
    <r>
      <rPr>
        <vertAlign val="subscript"/>
        <sz val="10"/>
        <color rgb="FF000000"/>
        <rFont val="Arial"/>
      </rPr>
      <t>x</t>
    </r>
    <r>
      <rPr>
        <sz val="10"/>
        <color rgb="FF000000"/>
        <rFont val="Arial"/>
      </rPr>
      <t>)</t>
    </r>
  </si>
  <si>
    <t>thousand tonnes</t>
  </si>
  <si>
    <r>
      <rPr>
        <sz val="10"/>
        <color rgb="FF000000"/>
        <rFont val="Arial"/>
      </rPr>
      <t>Nitrogen oxides (NO</t>
    </r>
    <r>
      <rPr>
        <vertAlign val="subscript"/>
        <sz val="10"/>
        <color rgb="FF000000"/>
        <rFont val="Arial"/>
      </rPr>
      <t>x</t>
    </r>
    <r>
      <rPr>
        <sz val="10"/>
        <color rgb="FF000000"/>
        <rFont val="Arial"/>
      </rPr>
      <t>)</t>
    </r>
  </si>
  <si>
    <t>Akyem</t>
  </si>
  <si>
    <r>
      <rPr>
        <sz val="10"/>
        <color rgb="FF000000"/>
        <rFont val="Arial"/>
      </rPr>
      <t>Particulate matter (PM10)</t>
    </r>
  </si>
  <si>
    <t>AMERICAS: NORTH</t>
  </si>
  <si>
    <t>De minimis</t>
  </si>
  <si>
    <t>tonnes</t>
  </si>
  <si>
    <t>Éléonore</t>
  </si>
  <si>
    <t>Musselwhite</t>
  </si>
  <si>
    <t>TR</t>
  </si>
  <si>
    <t>AMERICAS: SOUTH</t>
  </si>
  <si>
    <t>Merian</t>
  </si>
  <si>
    <t>AUSTRALIA</t>
  </si>
  <si>
    <t>Boddington</t>
  </si>
  <si>
    <t>GLOBAL</t>
  </si>
  <si>
    <t>ENVIRONMENT: BIODIVERSITY</t>
  </si>
  <si>
    <t xml:space="preserve">Country/site </t>
  </si>
  <si>
    <t>Number mortalities</t>
  </si>
  <si>
    <r>
      <rPr>
        <b/>
        <sz val="10"/>
        <color rgb="FF000000"/>
        <rFont val="Arial"/>
      </rPr>
      <t>Number of wildlife mortalities: Trailing five year data</t>
    </r>
    <r>
      <rPr>
        <b/>
        <vertAlign val="superscript"/>
        <sz val="10"/>
        <color rgb="FF000000"/>
        <rFont val="Arial"/>
      </rPr>
      <t>1</t>
    </r>
    <r>
      <rPr>
        <b/>
        <vertAlign val="superscript"/>
        <sz val="10"/>
        <color rgb="FF000000"/>
        <rFont val="Arial"/>
      </rPr>
      <t>, 3</t>
    </r>
  </si>
  <si>
    <t>2015</t>
  </si>
  <si>
    <t>2016</t>
  </si>
  <si>
    <t>2017</t>
  </si>
  <si>
    <r>
      <rPr>
        <b/>
        <sz val="10"/>
        <color rgb="FF000000"/>
        <rFont val="Arial"/>
      </rPr>
      <t>2018</t>
    </r>
    <r>
      <rPr>
        <b/>
        <vertAlign val="superscript"/>
        <sz val="10"/>
        <color rgb="FF000000"/>
        <rFont val="Arial"/>
      </rPr>
      <t>2</t>
    </r>
  </si>
  <si>
    <t>2020 NEM</t>
  </si>
  <si>
    <t>2020 GG</t>
  </si>
  <si>
    <r>
      <rPr>
        <b/>
        <sz val="10"/>
        <color rgb="FF000000"/>
        <rFont val="Arial"/>
      </rPr>
      <t>Newmont’s operations in relation to key biodiversity areas 2020: Site level</t>
    </r>
    <r>
      <rPr>
        <b/>
        <vertAlign val="superscript"/>
        <sz val="10"/>
        <color rgb="FF000000"/>
        <rFont val="Arial"/>
      </rPr>
      <t>2</t>
    </r>
  </si>
  <si>
    <r>
      <rPr>
        <b/>
        <sz val="10"/>
        <color rgb="FF000000"/>
        <rFont val="Arial"/>
      </rPr>
      <t>H</t>
    </r>
    <r>
      <rPr>
        <b/>
        <sz val="10"/>
        <color rgb="FF000000"/>
        <rFont val="Arial"/>
      </rPr>
      <t>igh Biodiversity Value Area</t>
    </r>
    <r>
      <rPr>
        <b/>
        <sz val="10"/>
        <color rgb="FF000000"/>
        <rFont val="Arial"/>
      </rPr>
      <t xml:space="preserve"> (km2)</t>
    </r>
    <r>
      <rPr>
        <b/>
        <vertAlign val="superscript"/>
        <sz val="10"/>
        <color rgb="FF000000"/>
        <rFont val="Arial"/>
      </rPr>
      <t>1</t>
    </r>
  </si>
  <si>
    <r>
      <rPr>
        <b/>
        <sz val="10"/>
        <color rgb="FF000000"/>
        <rFont val="Arial"/>
      </rPr>
      <t>Position relative to key biodiversity area (KBA)</t>
    </r>
  </si>
  <si>
    <r>
      <rPr>
        <b/>
        <sz val="10"/>
        <color rgb="FF000000"/>
        <rFont val="Arial"/>
      </rPr>
      <t>Ecological sensitivity</t>
    </r>
  </si>
  <si>
    <r>
      <rPr>
        <b/>
        <sz val="10"/>
        <color rgb="FF000000"/>
        <rFont val="Arial"/>
      </rPr>
      <t>Mitigation plan</t>
    </r>
  </si>
  <si>
    <r>
      <rPr>
        <b/>
        <sz val="10"/>
        <color rgb="FF000000"/>
        <rFont val="Arial"/>
      </rPr>
      <t>Partners/ collaborators</t>
    </r>
  </si>
  <si>
    <r>
      <rPr>
        <b/>
        <sz val="10"/>
        <color rgb="FF000000"/>
        <rFont val="Arial"/>
      </rPr>
      <t>Status of acid rock drainage at Newmont's sites</t>
    </r>
    <r>
      <rPr>
        <b/>
        <vertAlign val="superscript"/>
        <sz val="10"/>
        <color rgb="FF000000"/>
        <rFont val="Arial"/>
      </rPr>
      <t>1</t>
    </r>
    <r>
      <rPr>
        <b/>
        <vertAlign val="superscript"/>
        <sz val="10"/>
        <color rgb="FF000000"/>
        <rFont val="Arial"/>
      </rPr>
      <t>,2</t>
    </r>
  </si>
  <si>
    <t>Country/site</t>
  </si>
  <si>
    <t>Predicted to Occur</t>
  </si>
  <si>
    <t>Actively Mitigated</t>
  </si>
  <si>
    <t>Under Treatment or Remediation</t>
  </si>
  <si>
    <t>Critically endangered</t>
  </si>
  <si>
    <t>Contains portions of Ajenjua Bepo Forest Reserve (not KBA but habitat for species)</t>
  </si>
  <si>
    <t>Forest reserve for IUCN red-listed tree species Cola boxiana (endangered) and Necrosyrtes monachus (critically endangered)</t>
  </si>
  <si>
    <t>In 2020, continued to develop conceptual and prefeasibility studies for Akyem offset. 
Partnering with Conservation Alliance to implement critical  species management program (CSMP) for Cola boxiana and other nationally important species. 
Established nurseries to grow seedlings that will be planted within the mine area as part of the operation's closure rehabilitation plan.</t>
  </si>
  <si>
    <t>Forestry Commission of Ghana 
Environmental Protection Agency, Ghana 
Ghana Minerals Commission  
Conservation Alliance 
The Wychwood Project
International Union for Conservation of Nature (IUCN)</t>
  </si>
  <si>
    <t>Yes</t>
  </si>
  <si>
    <r>
      <rPr>
        <sz val="10"/>
        <color rgb="FF000000"/>
        <rFont val="Arial"/>
      </rPr>
      <t>Akyem</t>
    </r>
    <r>
      <rPr>
        <vertAlign val="superscript"/>
        <sz val="10"/>
        <color rgb="FF000000"/>
        <rFont val="Arial"/>
      </rPr>
      <t>1</t>
    </r>
  </si>
  <si>
    <t>Endangered</t>
  </si>
  <si>
    <t>Vulnerable</t>
  </si>
  <si>
    <t>Contains portions of upland and lowland ever-humid forest</t>
  </si>
  <si>
    <t>Rainforest habitat for IUCN red-listed tree species Virola surinamensis (baboonwood) (endangered) and Vouacapoua americana (bruinhart) (critically endangered)</t>
  </si>
  <si>
    <t>Implemented a process to avoid and minimize for vegetation disturbance and unnecessary impacts to natural habitats and the two identified IUCN red-listed tree species. 
Creating an offset to compensate for biodiversity impacts and completed a pilot (developed plans for a second pilot but it was put on hold due to COVID-19)  for the reforestation of land impacted by artisanal small-scale mining (ASM) within Merian’s right of exploitation (RoE).
Drafted preliminary report.</t>
  </si>
  <si>
    <t>Global biodiversity experts, Golder and Hardner &amp; Gullison Associates
Develop partnership with University of Suriname
IUCN</t>
  </si>
  <si>
    <t>Near threatened</t>
  </si>
  <si>
    <t>Least concern</t>
  </si>
  <si>
    <t>Contains portions of Rio Cajamarca IBA</t>
  </si>
  <si>
    <t xml:space="preserve">The tropical Andes are considered a biodiversity hotspot by 
Conservation International, and a limited portion of the operation is  located within rainforest habitat. 
Habitat for Pristimantis simonsii (Paramo Andes frog) (critically  endangered) </t>
  </si>
  <si>
    <t>Developed Biodiversity Manangement Plan and Biodiversity Action Plan (BAP-19), with a target of no net loss of key biodiversity value (KBV by reclaiming areas with local species and biomonitoring to identify changes asociated with our operations or other activities in the area.
Achieve the following specific actions for each KBV:
1. Improve quality of Pristimantis simonsii habitats during closure 
2. Prioritize planting of Polylepis racemosa species in reclamation areas
3. Use andean grassland (Pajonal) on every area that will be reclaimed
4. Prohibit disturbance of lagoons and bogs</t>
  </si>
  <si>
    <t>Universidad Peruana Cayetano Heredia</t>
  </si>
  <si>
    <t>Not specified or undefined</t>
  </si>
  <si>
    <r>
      <rPr>
        <vertAlign val="superscript"/>
        <sz val="8"/>
        <color rgb="FF000000"/>
        <rFont val="Arial"/>
      </rPr>
      <t>1</t>
    </r>
    <r>
      <rPr>
        <sz val="8"/>
        <color rgb="FF000000"/>
        <rFont val="Arial"/>
      </rPr>
      <t xml:space="preserve"> </t>
    </r>
    <r>
      <rPr>
        <sz val="8"/>
        <color rgb="FF000000"/>
        <rFont val="Arial"/>
      </rPr>
      <t>The total wildlife mortalities includes all mortalities that occurred at the operations. The categories identify the number of wildlife mortalities by IUCN red list category: Critically endangered, endangered, vulnerable, least concern. Those that are omitted from the 'not specified or undefined' categories include mortalities that are not on the red list and/or those that are undefined.</t>
    </r>
    <r>
      <rPr>
        <sz val="8"/>
        <color rgb="FF000000"/>
        <rFont val="Arial"/>
      </rPr>
      <t xml:space="preserve">	</t>
    </r>
    <r>
      <rPr>
        <sz val="8"/>
        <color rgb="FF000000"/>
        <rFont val="Arial"/>
      </rPr>
      <t xml:space="preserve">	</t>
    </r>
    <r>
      <rPr>
        <sz val="8"/>
        <color rgb="FF000000"/>
        <rFont val="Arial"/>
      </rPr>
      <t xml:space="preserve">	
</t>
    </r>
    <r>
      <rPr>
        <vertAlign val="superscript"/>
        <sz val="8"/>
        <color rgb="FF000000"/>
        <rFont val="Arial"/>
      </rPr>
      <t>2</t>
    </r>
    <r>
      <rPr>
        <sz val="8"/>
        <color rgb="FF000000"/>
        <rFont val="Arial"/>
      </rPr>
      <t xml:space="preserve"> </t>
    </r>
    <r>
      <rPr>
        <sz val="8"/>
        <color rgb="FF000000"/>
        <rFont val="Arial"/>
      </rPr>
      <t xml:space="preserve">We have restated the data for 2018 to update the disclosure based on the definition above. The increase in total mortalities between 2018 and 2019 is due to two incidents of fish mortalities found in a storm water drain at our Akyem site.
</t>
    </r>
    <r>
      <rPr>
        <vertAlign val="superscript"/>
        <sz val="8"/>
        <color rgb="FF000000"/>
        <rFont val="Arial"/>
      </rPr>
      <t>3</t>
    </r>
    <r>
      <rPr>
        <sz val="8"/>
        <color rgb="FF000000"/>
        <rFont val="Arial"/>
      </rPr>
      <t xml:space="preserve"> </t>
    </r>
    <r>
      <rPr>
        <sz val="8"/>
        <color rgb="FF000000"/>
        <rFont val="Arial"/>
      </rPr>
      <t>GRI Standards disclosure GRI 304-4: IUCN Red List species and  national conservation list species with habitats in areas affected by operations.</t>
    </r>
    <r>
      <rPr>
        <sz val="8"/>
        <color rgb="FF000000"/>
        <rFont val="Arial"/>
      </rPr>
      <t xml:space="preserve"> </t>
    </r>
  </si>
  <si>
    <t>Contains portions of Birdlife International “Endemic Bird Area of Southwest Australia”</t>
  </si>
  <si>
    <t>Woodland and shrubland habitat for black cockatoo; Calyptorhynchus latirostris (endangered), 
Calyptorhynchus baudinii (endangered) and Bettongia penicillata (critically endangered)</t>
  </si>
  <si>
    <t xml:space="preserve">Established 190 hectare (ha) Hotham Farm Conservation Covenant area over remnant Jarrah Forest.
Seeded/planted remnant vegetation in 470ha Hotham Farm Restoration Area (approximately 300 ha seeded/planted over 2017-18).
Working with Greening Australia for regular inspection and weed management (offset still requires placement of a protective mechanism and will most likely be a Soil Conservation Covenant).
Working with Murdoch University on research to restore black cockatoo feeding habitats at mine sites within the 
Jarrah forest and, more generally, in landscapes throughout southwestern Australia. </t>
  </si>
  <si>
    <t>Murdoch University
Greening Australia</t>
  </si>
  <si>
    <t>Granites and DBS operations are located within the south-west Tanami Site of Conservation Significance (SoCS) and the DBS Site of Botanical Significance (SoBS) and the Southern Tanami Indigenous Protection Area (IPA)</t>
  </si>
  <si>
    <t xml:space="preserve">Newmont Tanami Operations (NTO) is located within the Southern Tanami Indigenous Proctection Area (IPA); the south-west Tanami Site of Conservation Significance (SOCS); and the Dead Bullock Soak (DBS) Sites of Botanical Significance (SOBS); these areas are home to numerous fauna and flora species protected under both Territory and Federal legislation. As a a result, NTO presents a number of risks to biodiversity values (species, habitat and ecosystem services) in areas of conservation significance. </t>
  </si>
  <si>
    <t xml:space="preserve">Risk management and impact mitigation strategies are administered through the NTO Biodiversity and Land Management Plan and maintenance to the Biodiversity Risk Assessment Tool and are detailed in the operation’s Mining Management Plan, submitted and regulatory approved via Mining Authorisation 0086-02. </t>
  </si>
  <si>
    <t>In 2019 and 2020, NTO continued to use and develop the Newmont Vegetation Cover Model (VCM) and erosion modelling methodology utilising multispectral imagery from unmanned aerial vehicles (UAV) and field surveys to calculate the coverage of vegetation classes (bare ground, litter, grass, shrub and tree), species diversity, and the stability of landforms, relative to selected analogue sites. This work was commissioned as a collaborative rehabilitation assessment between NTO, Low Ecological Services (LES) and CWS Surveyors. In October and November 2019, CWS Surveyors used UAV to capture 280 hectares of multispectral imagery (RGB, DEM, red edge, near-infrared and thermal) of the rehabilitated landforms and analogue sites at DBS, Granites, and Windy Hill. This multispectral imagery was used in 2020 to train the VCM Model to assess the stability and performance of the entire rehabilitated landforms against analogue sites (conceptually background or natural sites) for each of these classes (where applicable). The methodology aims to simplify performance assessment by making the data collection methodology more repeatable and accurate of the entire rehabilitation landform with whole landform metrics. Eventually, it is hoped this technology can be extended to differentiate between species to allow for biodiversity mapping of rare flora and invasive species mapping.</t>
  </si>
  <si>
    <r>
      <rPr>
        <vertAlign val="superscript"/>
        <sz val="8"/>
        <color rgb="FF000000"/>
        <rFont val="Arial"/>
      </rPr>
      <t xml:space="preserve">1 </t>
    </r>
    <r>
      <rPr>
        <sz val="8"/>
        <color rgb="FF000000"/>
        <rFont val="Arial"/>
      </rPr>
      <t>These areas are defined</t>
    </r>
    <r>
      <rPr>
        <sz val="8"/>
        <color rgb="FF000000"/>
        <rFont val="Arial"/>
      </rPr>
      <t xml:space="preserve"> </t>
    </r>
    <r>
      <rPr>
        <sz val="8"/>
        <color rgb="FF000000"/>
        <rFont val="Arial"/>
      </rPr>
      <t xml:space="preserve">as </t>
    </r>
    <r>
      <rPr>
        <sz val="8"/>
        <color rgb="FF000000"/>
        <rFont val="Arial"/>
      </rPr>
      <t>protected</t>
    </r>
    <r>
      <rPr>
        <sz val="8"/>
        <color rgb="FF000000"/>
        <rFont val="Arial"/>
      </rPr>
      <t xml:space="preserve"> area based on Jurisdiction or other regulatory identifications. Newmont has its own internal definition for Key Biodiversity Values which aligns with IFC6. Insert link for Biodiversity management</t>
    </r>
    <r>
      <rPr>
        <sz val="8"/>
        <color rgb="FF000000"/>
        <rFont val="Arial"/>
      </rPr>
      <t xml:space="preserve"> </t>
    </r>
    <r>
      <rPr>
        <sz val="8"/>
        <color rgb="FF000000"/>
        <rFont val="Arial"/>
      </rPr>
      <t xml:space="preserve">plan.
</t>
    </r>
    <r>
      <rPr>
        <vertAlign val="superscript"/>
        <sz val="8"/>
        <color rgb="FF000000"/>
        <rFont val="Arial"/>
      </rPr>
      <t xml:space="preserve">2 </t>
    </r>
    <r>
      <rPr>
        <sz val="8"/>
        <color rgb="FF000000"/>
        <rFont val="Arial"/>
      </rPr>
      <t>GRI Standards disclosure GRI 304-1: Operational sites owned, leased, managed in, or adjacent to, protected areas and areas of high biodiversity value outside protected areas; SASB Metals &amp; Mining Sustainability Accounting Standard EM-MM-160a.1: Description of environmental management policies and practices for active sites. All of our sites comply with Newmont's Biodiversity Management Standard which calls for a risk assessment and Biodiversity Management Plan.  A Biodiversity Action Plan is developed for those Key Biodiversity Values (as defined by Newmont) that have a risk of high or greater. This information may not be fully described in the table above</t>
    </r>
    <r>
      <rPr>
        <sz val="8"/>
        <color rgb="FF000000"/>
        <rFont val="Arial"/>
      </rPr>
      <t xml:space="preserve"> </t>
    </r>
  </si>
  <si>
    <r>
      <rPr>
        <sz val="10"/>
        <color rgb="FF000000"/>
        <rFont val="Arial"/>
      </rPr>
      <t>Merian</t>
    </r>
    <r>
      <rPr>
        <vertAlign val="superscript"/>
        <sz val="10"/>
        <color rgb="FF000000"/>
        <rFont val="Arial"/>
      </rPr>
      <t>1</t>
    </r>
  </si>
  <si>
    <t>No</t>
  </si>
  <si>
    <r>
      <rPr>
        <b/>
        <sz val="10"/>
        <color rgb="FF000000"/>
        <rFont val="Arial"/>
      </rPr>
      <t>GLOBAL</t>
    </r>
    <r>
      <rPr>
        <b/>
        <vertAlign val="superscript"/>
        <sz val="10"/>
        <color rgb="FF000000"/>
        <rFont val="Arial"/>
      </rPr>
      <t>1</t>
    </r>
  </si>
  <si>
    <r>
      <rPr>
        <vertAlign val="superscript"/>
        <sz val="8"/>
        <color rgb="FF000000"/>
        <rFont val="Arial"/>
      </rPr>
      <t>1</t>
    </r>
    <r>
      <rPr>
        <vertAlign val="superscript"/>
        <sz val="8"/>
        <color rgb="FF000000"/>
        <rFont val="Arial"/>
      </rPr>
      <t xml:space="preserve"> </t>
    </r>
    <r>
      <rPr>
        <sz val="8"/>
        <color rgb="FF000000"/>
        <rFont val="Arial"/>
      </rPr>
      <t xml:space="preserve">The Akyem and Merian numbers are outliers because there were deaths of schools of fish at that site this year that are not considered threatened or endangered species. </t>
    </r>
    <r>
      <rPr>
        <sz val="8"/>
        <color rgb="FF000000"/>
        <rFont val="Arial"/>
      </rPr>
      <t xml:space="preserve">	</t>
    </r>
    <r>
      <rPr>
        <sz val="8"/>
        <color rgb="FF000000"/>
        <rFont val="Arial"/>
      </rPr>
      <t xml:space="preserve">	</t>
    </r>
    <r>
      <rPr>
        <sz val="8"/>
        <color rgb="FF000000"/>
        <rFont val="Arial"/>
      </rPr>
      <t xml:space="preserve">	
</t>
    </r>
    <r>
      <rPr>
        <vertAlign val="superscript"/>
        <sz val="8"/>
        <color rgb="FF000000"/>
        <rFont val="Arial"/>
      </rPr>
      <t>2</t>
    </r>
    <r>
      <rPr>
        <vertAlign val="superscript"/>
        <sz val="8"/>
        <color rgb="FF000000"/>
        <rFont val="Arial"/>
      </rPr>
      <t xml:space="preserve"> </t>
    </r>
    <r>
      <rPr>
        <sz val="8"/>
        <color rgb="FF000000"/>
        <rFont val="Arial"/>
      </rPr>
      <t xml:space="preserve">The total wildlife mortalities includes all mortalities that occurred at the operations. The categories identify the number of wildlife mortalities by IUCN red list category: Critically endangered, endangered, vulnerable, least concern. Those that are omitted from the 'not specified or undefined' categories include mortalities that are not on the red list and those that are undefined.
</t>
    </r>
    <r>
      <rPr>
        <vertAlign val="superscript"/>
        <sz val="8"/>
        <color rgb="FF000000"/>
        <rFont val="Arial"/>
      </rPr>
      <t>3</t>
    </r>
    <r>
      <rPr>
        <sz val="8"/>
        <color rgb="FF000000"/>
        <rFont val="Arial"/>
      </rPr>
      <t xml:space="preserve"> </t>
    </r>
    <r>
      <rPr>
        <sz val="8"/>
        <color rgb="FF000000"/>
        <rFont val="Arial"/>
      </rPr>
      <t>GRI Standards disclosure GRI 304-4: IUCN Red List species and national conservation list species with habitats in areas affected by operations.</t>
    </r>
  </si>
  <si>
    <t>ENVIRONMENT: CLIMATE CHANGE</t>
  </si>
  <si>
    <t>Table 1</t>
  </si>
  <si>
    <t>Coal2</t>
  </si>
  <si>
    <t>Diesel</t>
  </si>
  <si>
    <t>Waste oil</t>
  </si>
  <si>
    <t>Gasoline</t>
  </si>
  <si>
    <t>Natural gas</t>
  </si>
  <si>
    <t>Propane/LPG</t>
  </si>
  <si>
    <t>Heavy fuel oil</t>
  </si>
  <si>
    <t>Aviation fuel</t>
  </si>
  <si>
    <t>Total direct non-renewable energy consumed</t>
  </si>
  <si>
    <t>Hydro</t>
  </si>
  <si>
    <t>Wind</t>
  </si>
  <si>
    <t>Solar</t>
  </si>
  <si>
    <t>Total direct renewable energy consumed3</t>
  </si>
  <si>
    <t>Total direct energy consumed - all types</t>
  </si>
  <si>
    <t>Grid electricity from non-renewable sources</t>
  </si>
  <si>
    <t>Heating</t>
  </si>
  <si>
    <t>Cooling</t>
  </si>
  <si>
    <t>Steam</t>
  </si>
  <si>
    <t>Total indirect energy consumed</t>
  </si>
  <si>
    <t>TOTAL ENERGY CONSUMED (direct, indirect)</t>
  </si>
  <si>
    <t>Table 2 - by lookup</t>
  </si>
  <si>
    <t>Table 3</t>
  </si>
  <si>
    <t xml:space="preserve">Diesel </t>
  </si>
  <si>
    <t>Heavy fuel oil and/or waste oil</t>
  </si>
  <si>
    <r>
      <rPr>
        <sz val="8"/>
        <color rgb="FFFFFFFF"/>
        <rFont val="Arial"/>
      </rPr>
      <t>Natural gas-fired</t>
    </r>
    <r>
      <rPr>
        <vertAlign val="superscript"/>
        <sz val="8"/>
        <color rgb="FFFFFFFF"/>
        <rFont val="Arial"/>
      </rPr>
      <t xml:space="preserve">3 </t>
    </r>
  </si>
  <si>
    <t>Renewable Energy</t>
  </si>
  <si>
    <t>On-site (direct) electricity sold</t>
  </si>
  <si>
    <t>Table 4 - by lookup</t>
  </si>
  <si>
    <t>Table 6</t>
  </si>
  <si>
    <t>From coal</t>
  </si>
  <si>
    <t>From diesel</t>
  </si>
  <si>
    <t>From waste oil</t>
  </si>
  <si>
    <t>From gasoline</t>
  </si>
  <si>
    <t>From natural gas</t>
  </si>
  <si>
    <t>From propane</t>
  </si>
  <si>
    <t>From heavy fuel oil</t>
  </si>
  <si>
    <t>From aviation fuel</t>
  </si>
  <si>
    <t>From biodiesel</t>
  </si>
  <si>
    <t>From quick lime production</t>
  </si>
  <si>
    <t>From acid rock drainage (ARD) neutralization</t>
  </si>
  <si>
    <t>From sulfur hexafluoride (SF6)</t>
  </si>
  <si>
    <t>Other fugitive emissions</t>
  </si>
  <si>
    <t>Methane4</t>
  </si>
  <si>
    <t>Total direct (Scope 1) GHG emissions</t>
  </si>
  <si>
    <t>Total indirect (Scope 2) emissions - LOCATION BASED</t>
  </si>
  <si>
    <t>Total indirect (Scope 2) emissions - MARKET BASED</t>
  </si>
  <si>
    <t>Total direct and indirect (Scopes 1 and MARKET BASED 2) GHG emissions</t>
  </si>
  <si>
    <t>Table 7</t>
  </si>
  <si>
    <t>From refrigerant R-134a</t>
  </si>
  <si>
    <t>From refrigerant R-410a</t>
  </si>
  <si>
    <t xml:space="preserve">Table 9 - by lookup </t>
  </si>
  <si>
    <t>Table 10 - updated by Newmont</t>
  </si>
  <si>
    <t>Table 11 - calculated from Table 1</t>
  </si>
  <si>
    <t>Table 13 - calculate  from Table 6 once complete</t>
  </si>
  <si>
    <t>Non-renewable source: Coal</t>
  </si>
  <si>
    <t>Non-renewable source: Diesel</t>
  </si>
  <si>
    <t>Non-renewable source: Waste oil</t>
  </si>
  <si>
    <t>Non-renewable source: Gasoline</t>
  </si>
  <si>
    <t>Non-renewable source: Natural gas</t>
  </si>
  <si>
    <t>Non-renewable source: Propane/LPG</t>
  </si>
  <si>
    <t>Non-renewable source: Heavy fuel oil</t>
  </si>
  <si>
    <t>Non-renewable source: Aviation fuel</t>
  </si>
  <si>
    <t>Total non-renewable direct energy consumed</t>
  </si>
  <si>
    <t>Renewable source: Hydropower</t>
  </si>
  <si>
    <t>Renewable source: Wind</t>
  </si>
  <si>
    <t>Renewable source: Solar</t>
  </si>
  <si>
    <t>Renewable source: Biodiesel</t>
  </si>
  <si>
    <t>Total renewable direct energy consumed</t>
  </si>
  <si>
    <t>Total direct energy consumed (renewable and non-renewable)</t>
  </si>
  <si>
    <t>Indirect (grid-purchased) electricity</t>
  </si>
  <si>
    <t>Heating consumption</t>
  </si>
  <si>
    <t>Cooling consumption</t>
  </si>
  <si>
    <t>Steam consumption</t>
  </si>
  <si>
    <t>Total combined direct and indirect energy</t>
  </si>
  <si>
    <r>
      <rPr>
        <b/>
        <sz val="10"/>
        <color rgb="FF000000"/>
        <rFont val="Arial"/>
      </rPr>
      <t>Estimated direct and indirect energy consumed by source (million GJ): Trailing five year data</t>
    </r>
    <r>
      <rPr>
        <b/>
        <vertAlign val="superscript"/>
        <sz val="10"/>
        <color rgb="FF000000"/>
        <rFont val="Arial"/>
      </rPr>
      <t>3</t>
    </r>
  </si>
  <si>
    <t>2018</t>
  </si>
  <si>
    <t>2019</t>
  </si>
  <si>
    <t>2020</t>
  </si>
  <si>
    <r>
      <rPr>
        <b/>
        <sz val="10"/>
        <color rgb="FF000000"/>
        <rFont val="Arial"/>
      </rPr>
      <t xml:space="preserve">Estimated direct electricity consumed by source </t>
    </r>
    <r>
      <rPr>
        <b/>
        <sz val="10"/>
        <color rgb="FF000000"/>
        <rFont val="Arial"/>
      </rPr>
      <t>2020</t>
    </r>
    <r>
      <rPr>
        <b/>
        <sz val="10"/>
        <color rgb="FF000000"/>
        <rFont val="Arial"/>
      </rPr>
      <t>: Site level (GJ)</t>
    </r>
    <r>
      <rPr>
        <b/>
        <vertAlign val="superscript"/>
        <sz val="10"/>
        <color rgb="FF000000"/>
        <rFont val="Arial"/>
      </rPr>
      <t xml:space="preserve">1, </t>
    </r>
    <r>
      <rPr>
        <b/>
        <vertAlign val="superscript"/>
        <sz val="10"/>
        <color rgb="FF000000"/>
        <rFont val="Arial"/>
      </rPr>
      <t>3</t>
    </r>
  </si>
  <si>
    <t>On-site (direct) electricity generated</t>
  </si>
  <si>
    <t>On-site: Diesel (non-renewable)</t>
  </si>
  <si>
    <t>On-site: Heavy fuel oil and/or waste oil (non-renewable)</t>
  </si>
  <si>
    <t>On-site: Gasoline (non-renewable)</t>
  </si>
  <si>
    <t>On-site: Coal-fired (non-renewable)</t>
  </si>
  <si>
    <t>On-site: Natural gas-fired (non-renewable)</t>
  </si>
  <si>
    <r>
      <rPr>
        <b/>
        <sz val="10"/>
        <color rgb="FF000000"/>
        <rFont val="Arial"/>
      </rPr>
      <t>On-site: Solar (renewable)</t>
    </r>
    <r>
      <rPr>
        <b/>
        <vertAlign val="superscript"/>
        <sz val="10"/>
        <color rgb="FF000000"/>
        <rFont val="Arial"/>
      </rPr>
      <t>2</t>
    </r>
  </si>
  <si>
    <t>On-site: Biodiesel (renewable)</t>
  </si>
  <si>
    <t>On-site: (direct) electricity sold</t>
  </si>
  <si>
    <t>On-site: Total on-site (direct) electricity consumed</t>
  </si>
  <si>
    <r>
      <rPr>
        <b/>
        <sz val="10"/>
        <color rgb="FF000000"/>
        <rFont val="Arial"/>
      </rPr>
      <t>Estimated total electricity consumed: Trailing five year data (million GJ)</t>
    </r>
    <r>
      <rPr>
        <b/>
        <vertAlign val="superscript"/>
        <sz val="10"/>
        <color rgb="FF000000"/>
        <rFont val="Arial"/>
      </rPr>
      <t xml:space="preserve">1, </t>
    </r>
    <r>
      <rPr>
        <b/>
        <vertAlign val="superscript"/>
        <sz val="10"/>
        <color rgb="FF000000"/>
        <rFont val="Arial"/>
      </rPr>
      <t xml:space="preserve">2, </t>
    </r>
    <r>
      <rPr>
        <b/>
        <vertAlign val="superscript"/>
        <sz val="10"/>
        <color rgb="FF000000"/>
        <rFont val="Arial"/>
      </rPr>
      <t>3</t>
    </r>
  </si>
  <si>
    <r>
      <rPr>
        <b/>
        <sz val="10"/>
        <color rgb="FF000000"/>
        <rFont val="Arial"/>
      </rPr>
      <t>From coal</t>
    </r>
    <r>
      <rPr>
        <b/>
        <vertAlign val="superscript"/>
        <sz val="10"/>
        <color rgb="FF000000"/>
        <rFont val="Arial"/>
      </rPr>
      <t>2</t>
    </r>
  </si>
  <si>
    <r>
      <rPr>
        <b/>
        <sz val="10"/>
        <color rgb="FF000000"/>
        <rFont val="Arial"/>
      </rPr>
      <t>From sulfur hexafluoride (SF</t>
    </r>
    <r>
      <rPr>
        <b/>
        <vertAlign val="subscript"/>
        <sz val="10"/>
        <color rgb="FF000000"/>
        <rFont val="Arial"/>
      </rPr>
      <t>6</t>
    </r>
    <r>
      <rPr>
        <b/>
        <sz val="10"/>
        <color rgb="FF000000"/>
        <rFont val="Arial"/>
      </rPr>
      <t>)</t>
    </r>
  </si>
  <si>
    <t>Methane</t>
  </si>
  <si>
    <t xml:space="preserve">Total direct and indirect (Scopes 1 and 2) GHG emissions </t>
  </si>
  <si>
    <r>
      <rPr>
        <b/>
        <sz val="10"/>
        <color rgb="FF000000"/>
        <rFont val="Arial"/>
      </rPr>
      <t xml:space="preserve">Estimated </t>
    </r>
    <r>
      <rPr>
        <b/>
        <sz val="10"/>
        <color rgb="FF000000"/>
        <rFont val="Arial"/>
      </rPr>
      <t>GHG Intensity</t>
    </r>
    <r>
      <rPr>
        <b/>
        <sz val="10"/>
        <color rgb="FF000000"/>
        <rFont val="Arial"/>
      </rPr>
      <t>: Site level (GJ)</t>
    </r>
    <r>
      <rPr>
        <b/>
        <vertAlign val="superscript"/>
        <sz val="10"/>
        <color rgb="FF000000"/>
        <rFont val="Arial"/>
      </rPr>
      <t>1,2</t>
    </r>
  </si>
  <si>
    <t>GEO (Gold Equivalent Oz) Denominator</t>
  </si>
  <si>
    <r>
      <rPr>
        <b/>
        <sz val="10"/>
        <color rgb="FF000000"/>
        <rFont val="Arial"/>
      </rPr>
      <t>Estimated greenhouse gas (GHG) emissions: Trailing five year data (million tonnes CO</t>
    </r>
    <r>
      <rPr>
        <b/>
        <vertAlign val="subscript"/>
        <sz val="10"/>
        <color rgb="FF000000"/>
        <rFont val="Arial"/>
      </rPr>
      <t>2</t>
    </r>
    <r>
      <rPr>
        <b/>
        <sz val="10"/>
        <color rgb="FF000000"/>
        <rFont val="Arial"/>
      </rPr>
      <t>e)</t>
    </r>
    <r>
      <rPr>
        <b/>
        <vertAlign val="superscript"/>
        <sz val="10"/>
        <color rgb="FF000000"/>
        <rFont val="Arial"/>
      </rPr>
      <t>1, 2</t>
    </r>
    <r>
      <rPr>
        <b/>
        <vertAlign val="superscript"/>
        <sz val="10"/>
        <color rgb="FF000000"/>
        <rFont val="Arial"/>
      </rPr>
      <t>,</t>
    </r>
    <r>
      <rPr>
        <b/>
        <vertAlign val="superscript"/>
        <sz val="10"/>
        <color rgb="FF000000"/>
        <rFont val="Arial"/>
      </rPr>
      <t xml:space="preserve"> </t>
    </r>
    <r>
      <rPr>
        <b/>
        <vertAlign val="superscript"/>
        <sz val="10"/>
        <color rgb="FF000000"/>
        <rFont val="Arial"/>
      </rPr>
      <t>3</t>
    </r>
  </si>
  <si>
    <r>
      <rPr>
        <b/>
        <sz val="10"/>
        <color rgb="FF000000"/>
        <rFont val="Arial"/>
      </rPr>
      <t xml:space="preserve">Estimated </t>
    </r>
    <r>
      <rPr>
        <b/>
        <sz val="10"/>
        <color rgb="FF000000"/>
        <rFont val="Arial"/>
      </rPr>
      <t>refrigerant</t>
    </r>
    <r>
      <rPr>
        <b/>
        <sz val="10"/>
        <color rgb="FF000000"/>
        <rFont val="Arial"/>
      </rPr>
      <t xml:space="preserve"> (GHG) emissions: Trailing five year data (million tonnes CO</t>
    </r>
    <r>
      <rPr>
        <b/>
        <vertAlign val="subscript"/>
        <sz val="10"/>
        <color rgb="FF000000"/>
        <rFont val="Arial"/>
      </rPr>
      <t>2</t>
    </r>
    <r>
      <rPr>
        <b/>
        <sz val="10"/>
        <color rgb="FF000000"/>
        <rFont val="Arial"/>
      </rPr>
      <t>e)</t>
    </r>
    <r>
      <rPr>
        <b/>
        <vertAlign val="superscript"/>
        <sz val="10"/>
        <color rgb="FF000000"/>
        <rFont val="Arial"/>
      </rPr>
      <t>1, 2</t>
    </r>
  </si>
  <si>
    <r>
      <rPr>
        <b/>
        <sz val="10"/>
        <color rgb="FF000000"/>
        <rFont val="Arial"/>
      </rPr>
      <t>Estimated GHG emissions intensity: Trailing five year data (million tonnes CO2e)</t>
    </r>
    <r>
      <rPr>
        <b/>
        <vertAlign val="superscript"/>
        <sz val="10"/>
        <color rgb="FF000000"/>
        <rFont val="Arial"/>
      </rPr>
      <t>1, 2</t>
    </r>
  </si>
  <si>
    <t>Coal</t>
  </si>
  <si>
    <r>
      <rPr>
        <b/>
        <sz val="10"/>
        <color rgb="FF000000"/>
        <rFont val="Arial"/>
      </rPr>
      <t>2020</t>
    </r>
    <r>
      <rPr>
        <b/>
        <sz val="10"/>
        <color rgb="FF000000"/>
        <rFont val="Arial"/>
      </rPr>
      <t xml:space="preserve"> estimated gross global Scope 1 emissions, percentage of sites operating in jurisdictions with emissions-limiting regulations </t>
    </r>
    <r>
      <rPr>
        <b/>
        <sz val="10"/>
        <color rgb="FF000000"/>
        <rFont val="Arial"/>
      </rPr>
      <t>2020</t>
    </r>
    <r>
      <rPr>
        <b/>
        <sz val="10"/>
        <color rgb="FF000000"/>
        <rFont val="Arial"/>
      </rPr>
      <t>: Site level</t>
    </r>
    <r>
      <rPr>
        <b/>
        <vertAlign val="superscript"/>
        <sz val="10"/>
        <color rgb="FF000000"/>
        <rFont val="Arial"/>
      </rPr>
      <t>1</t>
    </r>
  </si>
  <si>
    <t>Country / jurisdiction</t>
  </si>
  <si>
    <r>
      <rPr>
        <b/>
        <sz val="10"/>
        <color rgb="FF000000"/>
        <rFont val="Arial"/>
      </rPr>
      <t>Site operates in jurisdiction(s) with emissions-limiting regulations</t>
    </r>
  </si>
  <si>
    <r>
      <rPr>
        <b/>
        <sz val="10"/>
        <color rgb="FF000000"/>
        <rFont val="Arial"/>
      </rPr>
      <t>Site-level Scope 1 GHG emissions under emissions-limiting regulations (tonnes CO</t>
    </r>
    <r>
      <rPr>
        <b/>
        <vertAlign val="subscript"/>
        <sz val="10"/>
        <color rgb="FF000000"/>
        <rFont val="Arial"/>
      </rPr>
      <t>2</t>
    </r>
    <r>
      <rPr>
        <b/>
        <sz val="10"/>
        <color rgb="FF000000"/>
        <rFont val="Arial"/>
      </rPr>
      <t>e)</t>
    </r>
  </si>
  <si>
    <t>% of Company's total Scope 1 emissions under emissions-limiting regulations (percentage)</t>
  </si>
  <si>
    <r>
      <rPr>
        <b/>
        <sz val="10"/>
        <color rgb="FF000000"/>
        <rFont val="Arial"/>
      </rPr>
      <t xml:space="preserve">Estimated </t>
    </r>
    <r>
      <rPr>
        <b/>
        <sz val="10"/>
        <color rgb="FF000000"/>
        <rFont val="Arial"/>
      </rPr>
      <t>Scope 3 Emissions</t>
    </r>
    <r>
      <rPr>
        <b/>
        <vertAlign val="superscript"/>
        <sz val="10"/>
        <color rgb="FF000000"/>
        <rFont val="Arial"/>
      </rPr>
      <t>1</t>
    </r>
    <r>
      <rPr>
        <b/>
        <vertAlign val="superscript"/>
        <sz val="10"/>
        <color rgb="FF000000"/>
        <rFont val="Arial"/>
      </rPr>
      <t>,2,3</t>
    </r>
    <r>
      <rPr>
        <b/>
        <vertAlign val="superscript"/>
        <sz val="10"/>
        <color rgb="FF000000"/>
        <rFont val="Arial"/>
      </rPr>
      <t>,4</t>
    </r>
  </si>
  <si>
    <t>Direct non-renewable energy consumed by type</t>
  </si>
  <si>
    <t>Direct GHG emissions sources</t>
  </si>
  <si>
    <t>GHG intensity - market based</t>
  </si>
  <si>
    <r>
      <rPr>
        <b/>
        <sz val="10"/>
        <color rgb="FF000000"/>
        <rFont val="Arial"/>
      </rPr>
      <t>Source 1</t>
    </r>
    <r>
      <rPr>
        <sz val="10"/>
        <color rgb="FF000000"/>
        <rFont val="Arial"/>
      </rPr>
      <t>: Purchased goods and services</t>
    </r>
  </si>
  <si>
    <r>
      <rPr>
        <sz val="10"/>
        <color rgb="FF000000"/>
        <rFont val="Arial"/>
      </rPr>
      <t>Coal</t>
    </r>
    <r>
      <rPr>
        <vertAlign val="superscript"/>
        <sz val="10"/>
        <color rgb="FF000000"/>
        <rFont val="Arial"/>
      </rPr>
      <t>1</t>
    </r>
  </si>
  <si>
    <t>GHG intensity - location based</t>
  </si>
  <si>
    <r>
      <rPr>
        <b/>
        <sz val="10"/>
        <color rgb="FF000000"/>
        <rFont val="Arial"/>
      </rPr>
      <t>Source 2:</t>
    </r>
    <r>
      <rPr>
        <sz val="10"/>
        <color rgb="FF000000"/>
        <rFont val="Arial"/>
      </rPr>
      <t xml:space="preserve"> Capital goods</t>
    </r>
  </si>
  <si>
    <r>
      <rPr>
        <vertAlign val="superscript"/>
        <sz val="8"/>
        <color rgb="FF000000"/>
        <rFont val="Arial"/>
      </rPr>
      <t>1</t>
    </r>
    <r>
      <rPr>
        <sz val="8"/>
        <color rgb="FF000000"/>
        <rFont val="Arial"/>
      </rPr>
      <t xml:space="preserve"> </t>
    </r>
    <r>
      <rPr>
        <sz val="8"/>
        <color rgb="FF000000"/>
        <rFont val="Arial"/>
      </rPr>
      <t>To ensure consistency and comparable reporting boundaries across energy and climate data disclosed, 2019 data omits Nevada TS Power Plant data to align with GHG Protocol Corporate Accounting and Reporting Standard for Merger and Acquisition year reporting guidance. 2015-2018 data is restated to include former Goldcorp site data for accounting and comparability purposes; 2019 data includes full year data for former Goldcorp assets acquired by Newmont on April 18, 2019. Greenhouse gas emissions are calculated using emission factors from the Climate Registry and the Australian Government National Greenhouse Accounts Factors</t>
    </r>
    <r>
      <rPr>
        <sz val="8"/>
        <color rgb="FF000000"/>
        <rFont val="Arial"/>
      </rPr>
      <t xml:space="preserve">.
</t>
    </r>
    <r>
      <rPr>
        <vertAlign val="superscript"/>
        <sz val="8"/>
        <color rgb="FF000000"/>
        <rFont val="Arial"/>
      </rPr>
      <t>2</t>
    </r>
    <r>
      <rPr>
        <sz val="8"/>
        <color rgb="FF000000"/>
        <rFont val="Arial"/>
      </rPr>
      <t xml:space="preserve"> </t>
    </r>
    <r>
      <rPr>
        <sz val="8"/>
        <color rgb="FF000000"/>
        <rFont val="Arial"/>
      </rPr>
      <t>GRI Standards disclosure: GRI: 305-4: GHG emissions intensity. Aligns with TCFD-M: a) Metrics used to assess climate related risks and opportunities in line with its strategy and risk management processes</t>
    </r>
    <r>
      <rPr>
        <sz val="8"/>
        <color rgb="FF000000"/>
        <rFont val="Arial"/>
      </rPr>
      <t>.</t>
    </r>
    <r>
      <rPr>
        <sz val="8"/>
        <color rgb="FF000000"/>
        <rFont val="Arial"/>
      </rPr>
      <t xml:space="preserve"> </t>
    </r>
    <r>
      <rPr>
        <sz val="8"/>
        <color rgb="FF000000"/>
        <rFont val="Arial"/>
      </rPr>
      <t xml:space="preserve"> </t>
    </r>
    <r>
      <rPr>
        <sz val="8"/>
        <color rgb="FF000000"/>
        <rFont val="Arial"/>
      </rPr>
      <t>.</t>
    </r>
  </si>
  <si>
    <t xml:space="preserve">U.S. </t>
  </si>
  <si>
    <r>
      <rPr>
        <b/>
        <sz val="10"/>
        <color rgb="FF000000"/>
        <rFont val="Arial"/>
      </rPr>
      <t xml:space="preserve">Source 3: </t>
    </r>
    <r>
      <rPr>
        <sz val="10"/>
        <color rgb="FF000000"/>
        <rFont val="Arial"/>
      </rPr>
      <t>Fuel and energy related activities</t>
    </r>
  </si>
  <si>
    <r>
      <rPr>
        <b/>
        <sz val="10"/>
        <color rgb="FF000000"/>
        <rFont val="Arial"/>
      </rPr>
      <t>Source 4:</t>
    </r>
    <r>
      <rPr>
        <sz val="10"/>
        <color rgb="FF000000"/>
        <rFont val="Arial"/>
      </rPr>
      <t xml:space="preserve"> Upstream transport</t>
    </r>
  </si>
  <si>
    <r>
      <rPr>
        <b/>
        <sz val="10"/>
        <color rgb="FF000000"/>
        <rFont val="Arial"/>
      </rPr>
      <t xml:space="preserve">Source 5: </t>
    </r>
    <r>
      <rPr>
        <sz val="10"/>
        <color rgb="FF000000"/>
        <rFont val="Arial"/>
      </rPr>
      <t>Waste generated in operations</t>
    </r>
  </si>
  <si>
    <r>
      <rPr>
        <sz val="10"/>
        <color rgb="FF000000"/>
        <rFont val="Arial"/>
      </rPr>
      <t>Natural gas-fired</t>
    </r>
    <r>
      <rPr>
        <vertAlign val="superscript"/>
        <sz val="10"/>
        <color rgb="FF000000"/>
        <rFont val="Arial"/>
      </rPr>
      <t xml:space="preserve">3 </t>
    </r>
  </si>
  <si>
    <r>
      <rPr>
        <b/>
        <sz val="10"/>
        <color rgb="FF000000"/>
        <rFont val="Arial"/>
      </rPr>
      <t>Source 6:</t>
    </r>
    <r>
      <rPr>
        <sz val="10"/>
        <color rgb="FF000000"/>
        <rFont val="Arial"/>
      </rPr>
      <t xml:space="preserve"> Business travel</t>
    </r>
  </si>
  <si>
    <r>
      <rPr>
        <b/>
        <sz val="10"/>
        <color rgb="FF000000"/>
        <rFont val="Arial"/>
      </rPr>
      <t xml:space="preserve">Source 7: </t>
    </r>
    <r>
      <rPr>
        <sz val="10"/>
        <color rgb="FF000000"/>
        <rFont val="Arial"/>
      </rPr>
      <t>Employee commuting</t>
    </r>
  </si>
  <si>
    <t>Total on-site (direct) electricity consumed</t>
  </si>
  <si>
    <r>
      <rPr>
        <b/>
        <sz val="10"/>
        <color rgb="FF000000"/>
        <rFont val="Arial"/>
      </rPr>
      <t xml:space="preserve">Source 8: </t>
    </r>
    <r>
      <rPr>
        <sz val="10"/>
        <color rgb="FF000000"/>
        <rFont val="Arial"/>
      </rPr>
      <t>Upstream leased assets</t>
    </r>
  </si>
  <si>
    <r>
      <rPr>
        <vertAlign val="superscript"/>
        <sz val="8"/>
        <color rgb="FF000000"/>
        <rFont val="Arial"/>
      </rPr>
      <t>1</t>
    </r>
    <r>
      <rPr>
        <vertAlign val="superscript"/>
        <sz val="8"/>
        <color rgb="FF000000"/>
        <rFont val="Arial"/>
      </rPr>
      <t xml:space="preserve"> </t>
    </r>
    <r>
      <rPr>
        <sz val="8"/>
        <color rgb="FF000000"/>
        <rFont val="Arial"/>
      </rPr>
      <t xml:space="preserve">2019 data includes Nevada TS Power Plant data and full year data for former Goldcorp assets acquired by Newmont on April 18, 2019. 
</t>
    </r>
    <r>
      <rPr>
        <vertAlign val="superscript"/>
        <sz val="8"/>
        <color rgb="FF000000"/>
        <rFont val="Arial"/>
      </rPr>
      <t>2</t>
    </r>
    <r>
      <rPr>
        <vertAlign val="superscript"/>
        <sz val="8"/>
        <color rgb="FF000000"/>
        <rFont val="Arial"/>
      </rPr>
      <t xml:space="preserve"> </t>
    </r>
    <r>
      <rPr>
        <sz val="8"/>
        <color rgb="FF000000"/>
        <rFont val="Arial"/>
      </rPr>
      <t>2019 figures assume generator efficiency rate of 40%.</t>
    </r>
    <r>
      <rPr>
        <sz val="8"/>
        <color rgb="FF000000"/>
        <rFont val="Arial"/>
      </rPr>
      <t xml:space="preserve"> 
</t>
    </r>
    <r>
      <rPr>
        <vertAlign val="superscript"/>
        <sz val="8"/>
        <color rgb="FF000000"/>
        <rFont val="Arial"/>
      </rPr>
      <t>3</t>
    </r>
    <r>
      <rPr>
        <sz val="8"/>
        <color rgb="FF000000"/>
        <rFont val="Arial"/>
      </rPr>
      <t xml:space="preserve"> Our </t>
    </r>
    <r>
      <rPr>
        <sz val="8"/>
        <color rgb="FF000000"/>
        <rFont val="Arial"/>
      </rPr>
      <t xml:space="preserve">on-site electricity from natural gas </t>
    </r>
    <r>
      <rPr>
        <sz val="8"/>
        <color rgb="FF000000"/>
        <rFont val="Arial"/>
      </rPr>
      <t>ha</t>
    </r>
    <r>
      <rPr>
        <sz val="8"/>
        <color rgb="FF000000"/>
        <rFont val="Arial"/>
      </rPr>
      <t>d a lar</t>
    </r>
    <r>
      <rPr>
        <sz val="8"/>
        <color rgb="FF000000"/>
        <rFont val="Arial"/>
      </rPr>
      <t xml:space="preserve">ge increase in 2019 </t>
    </r>
    <r>
      <rPr>
        <sz val="8"/>
        <color rgb="FF000000"/>
        <rFont val="Arial"/>
      </rPr>
      <t xml:space="preserve">and 2020 </t>
    </r>
    <r>
      <rPr>
        <sz val="8"/>
        <color rgb="FF000000"/>
        <rFont val="Arial"/>
      </rPr>
      <t>due to the impleme</t>
    </r>
    <r>
      <rPr>
        <sz val="8"/>
        <color rgb="FF000000"/>
        <rFont val="Arial"/>
      </rPr>
      <t xml:space="preserve">nation of the Tanami </t>
    </r>
    <r>
      <rPr>
        <sz val="8"/>
        <color rgb="FF000000"/>
        <rFont val="Arial"/>
      </rPr>
      <t>power</t>
    </r>
    <r>
      <rPr>
        <sz val="8"/>
        <color rgb="FF000000"/>
        <rFont val="Arial"/>
      </rPr>
      <t xml:space="preserve"> project w</t>
    </r>
    <r>
      <rPr>
        <sz val="8"/>
        <color rgb="FF000000"/>
        <rFont val="Arial"/>
      </rPr>
      <t>hich in</t>
    </r>
    <r>
      <rPr>
        <sz val="8"/>
        <color rgb="FF000000"/>
        <rFont val="Arial"/>
      </rPr>
      <t>v</t>
    </r>
    <r>
      <rPr>
        <sz val="8"/>
        <color rgb="FF000000"/>
        <rFont val="Arial"/>
      </rPr>
      <t>olved ins</t>
    </r>
    <r>
      <rPr>
        <sz val="8"/>
        <color rgb="FF000000"/>
        <rFont val="Arial"/>
      </rPr>
      <t xml:space="preserve">talling </t>
    </r>
    <r>
      <rPr>
        <sz val="8"/>
        <color rgb="FF000000"/>
        <rFont val="Arial"/>
      </rPr>
      <t>two</t>
    </r>
    <r>
      <rPr>
        <sz val="8"/>
        <color rgb="FF000000"/>
        <rFont val="Arial"/>
      </rPr>
      <t xml:space="preserve"> on-site</t>
    </r>
    <r>
      <rPr>
        <sz val="8"/>
        <color rgb="FF000000"/>
        <rFont val="Arial"/>
      </rPr>
      <t xml:space="preserve"> power </t>
    </r>
    <r>
      <rPr>
        <sz val="8"/>
        <color rgb="FF000000"/>
        <rFont val="Arial"/>
      </rPr>
      <t xml:space="preserve">stations, </t>
    </r>
    <r>
      <rPr>
        <sz val="8"/>
        <color rgb="FF000000"/>
        <rFont val="Arial"/>
      </rPr>
      <t xml:space="preserve">a </t>
    </r>
    <r>
      <rPr>
        <sz val="8"/>
        <color rgb="FF000000"/>
        <rFont val="Arial"/>
      </rPr>
      <t>power line</t>
    </r>
    <r>
      <rPr>
        <sz val="8"/>
        <color rgb="FF000000"/>
        <rFont val="Arial"/>
      </rPr>
      <t xml:space="preserve">, </t>
    </r>
    <r>
      <rPr>
        <sz val="8"/>
        <color rgb="FF000000"/>
        <rFont val="Arial"/>
      </rPr>
      <t>and</t>
    </r>
    <r>
      <rPr>
        <sz val="8"/>
        <color rgb="FF000000"/>
        <rFont val="Arial"/>
      </rPr>
      <t xml:space="preserve"> </t>
    </r>
    <r>
      <rPr>
        <sz val="8"/>
        <color rgb="FF000000"/>
        <rFont val="Arial"/>
      </rPr>
      <t xml:space="preserve">a </t>
    </r>
    <r>
      <rPr>
        <sz val="8"/>
        <color rgb="FF000000"/>
        <rFont val="Arial"/>
      </rPr>
      <t>na</t>
    </r>
    <r>
      <rPr>
        <sz val="8"/>
        <color rgb="FF000000"/>
        <rFont val="Arial"/>
      </rPr>
      <t xml:space="preserve">tural </t>
    </r>
    <r>
      <rPr>
        <sz val="8"/>
        <color rgb="FF000000"/>
        <rFont val="Arial"/>
      </rPr>
      <t>gas pip</t>
    </r>
    <r>
      <rPr>
        <sz val="8"/>
        <color rgb="FF000000"/>
        <rFont val="Arial"/>
      </rPr>
      <t>eline</t>
    </r>
    <r>
      <rPr>
        <sz val="8"/>
        <color rgb="FF000000"/>
        <rFont val="Arial"/>
      </rPr>
      <t xml:space="preserve"> that provides cleaner energy than the </t>
    </r>
    <r>
      <rPr>
        <sz val="8"/>
        <color rgb="FF000000"/>
        <rFont val="Arial"/>
      </rPr>
      <t>lo</t>
    </r>
    <r>
      <rPr>
        <sz val="8"/>
        <color rgb="FF000000"/>
        <rFont val="Arial"/>
      </rPr>
      <t xml:space="preserve">cal grid that the </t>
    </r>
    <r>
      <rPr>
        <sz val="8"/>
        <color rgb="FF000000"/>
        <rFont val="Arial"/>
      </rPr>
      <t>electricity</t>
    </r>
    <r>
      <rPr>
        <sz val="8"/>
        <color rgb="FF000000"/>
        <rFont val="Arial"/>
      </rPr>
      <t xml:space="preserve"> was previously source</t>
    </r>
    <r>
      <rPr>
        <sz val="8"/>
        <color rgb="FF000000"/>
        <rFont val="Arial"/>
      </rPr>
      <t xml:space="preserve">d from.
</t>
    </r>
    <r>
      <rPr>
        <vertAlign val="superscript"/>
        <sz val="8"/>
        <color rgb="FF000000"/>
        <rFont val="Arial"/>
      </rPr>
      <t>4</t>
    </r>
    <r>
      <rPr>
        <sz val="8"/>
        <color rgb="FF000000"/>
        <rFont val="Arial"/>
      </rPr>
      <t xml:space="preserve"> </t>
    </r>
    <r>
      <rPr>
        <sz val="8"/>
        <color rgb="FF000000"/>
        <rFont val="Arial"/>
      </rPr>
      <t>GRI Standard disclosure 30</t>
    </r>
    <r>
      <rPr>
        <sz val="8"/>
        <color rgb="FF000000"/>
        <rFont val="Arial"/>
      </rPr>
      <t>2-1: Energy consumption within the organization.</t>
    </r>
    <r>
      <rPr>
        <sz val="8"/>
        <color rgb="FF000000"/>
        <rFont val="Arial"/>
      </rPr>
      <t xml:space="preserve"> </t>
    </r>
  </si>
  <si>
    <r>
      <rPr>
        <b/>
        <sz val="10"/>
        <color rgb="FF000000"/>
        <rFont val="Arial"/>
      </rPr>
      <t xml:space="preserve">Source 9: </t>
    </r>
    <r>
      <rPr>
        <sz val="10"/>
        <color rgb="FF000000"/>
        <rFont val="Arial"/>
      </rPr>
      <t>Downstream transport</t>
    </r>
  </si>
  <si>
    <r>
      <rPr>
        <b/>
        <sz val="10"/>
        <color rgb="FF000000"/>
        <rFont val="Arial"/>
      </rPr>
      <t>Source 10:</t>
    </r>
    <r>
      <rPr>
        <sz val="10"/>
        <color rgb="FF000000"/>
        <rFont val="Arial"/>
      </rPr>
      <t xml:space="preserve"> Processing of sold products</t>
    </r>
  </si>
  <si>
    <t>Direct renewable energy consumed by type</t>
  </si>
  <si>
    <r>
      <rPr>
        <b/>
        <sz val="10"/>
        <color rgb="FF000000"/>
        <rFont val="Arial"/>
      </rPr>
      <t xml:space="preserve">Source 11: </t>
    </r>
    <r>
      <rPr>
        <sz val="10"/>
        <color rgb="FF000000"/>
        <rFont val="Arial"/>
      </rPr>
      <t>Use of sold products</t>
    </r>
  </si>
  <si>
    <r>
      <rPr>
        <b/>
        <sz val="10"/>
        <color rgb="FF000000"/>
        <rFont val="Arial"/>
      </rPr>
      <t>Source 12:</t>
    </r>
    <r>
      <rPr>
        <sz val="10"/>
        <color rgb="FF000000"/>
        <rFont val="Arial"/>
      </rPr>
      <t xml:space="preserve"> End-of-life of sold products</t>
    </r>
  </si>
  <si>
    <r>
      <rPr>
        <sz val="10"/>
        <color rgb="FF000000"/>
        <rFont val="Arial"/>
      </rPr>
      <t>From sulfur hexafluoride (SF</t>
    </r>
    <r>
      <rPr>
        <vertAlign val="subscript"/>
        <sz val="10"/>
        <color rgb="FF000000"/>
        <rFont val="Arial"/>
      </rPr>
      <t>6</t>
    </r>
    <r>
      <rPr>
        <sz val="10"/>
        <color rgb="FF000000"/>
        <rFont val="Arial"/>
      </rPr>
      <t>)</t>
    </r>
  </si>
  <si>
    <t>TOTALS</t>
  </si>
  <si>
    <r>
      <rPr>
        <b/>
        <sz val="10"/>
        <color rgb="FF000000"/>
        <rFont val="Arial"/>
      </rPr>
      <t>Source 13:</t>
    </r>
    <r>
      <rPr>
        <sz val="10"/>
        <color rgb="FF000000"/>
        <rFont val="Arial"/>
      </rPr>
      <t xml:space="preserve"> Downstream leased assets</t>
    </r>
  </si>
  <si>
    <r>
      <rPr>
        <vertAlign val="superscript"/>
        <sz val="8"/>
        <color rgb="FF000000"/>
        <rFont val="Arial"/>
      </rPr>
      <t>1</t>
    </r>
    <r>
      <rPr>
        <sz val="8"/>
        <color rgb="FF000000"/>
        <rFont val="Arial"/>
      </rPr>
      <t xml:space="preserve"> </t>
    </r>
    <r>
      <rPr>
        <sz val="8"/>
        <color rgb="FF000000"/>
        <rFont val="Arial"/>
      </rPr>
      <t>SASB Metals &amp; Mining Sustainability Accounting Standard EM-MM-110a.1: Gross global Scope 1 emissions percentage covered under emissions-limiting regulations.</t>
    </r>
  </si>
  <si>
    <r>
      <rPr>
        <b/>
        <sz val="10"/>
        <color rgb="FF000000"/>
        <rFont val="Arial"/>
      </rPr>
      <t>Source 14:</t>
    </r>
    <r>
      <rPr>
        <sz val="10"/>
        <color rgb="FF000000"/>
        <rFont val="Arial"/>
      </rPr>
      <t xml:space="preserve"> Franchises</t>
    </r>
  </si>
  <si>
    <r>
      <rPr>
        <sz val="10"/>
        <color rgb="FF000000"/>
        <rFont val="Arial"/>
      </rPr>
      <t>Biodiesel</t>
    </r>
    <r>
      <rPr>
        <vertAlign val="superscript"/>
        <sz val="10"/>
        <color rgb="FF000000"/>
        <rFont val="Arial"/>
      </rPr>
      <t>3</t>
    </r>
  </si>
  <si>
    <r>
      <rPr>
        <sz val="10"/>
        <color rgb="FF000000"/>
        <rFont val="Arial"/>
      </rPr>
      <t>Methane</t>
    </r>
    <r>
      <rPr>
        <vertAlign val="superscript"/>
        <sz val="10"/>
        <color rgb="FF000000"/>
        <rFont val="Arial"/>
      </rPr>
      <t>4</t>
    </r>
  </si>
  <si>
    <r>
      <rPr>
        <b/>
        <sz val="10"/>
        <color rgb="FF000000"/>
        <rFont val="Arial"/>
      </rPr>
      <t xml:space="preserve">Source 15: </t>
    </r>
    <r>
      <rPr>
        <sz val="10"/>
        <color rgb="FF000000"/>
        <rFont val="Arial"/>
      </rPr>
      <t>Investments</t>
    </r>
  </si>
  <si>
    <r>
      <rPr>
        <b/>
        <sz val="10"/>
        <color rgb="FF000000"/>
        <rFont val="Arial"/>
      </rPr>
      <t>Total direct renewable energy consumed</t>
    </r>
    <r>
      <rPr>
        <b/>
        <vertAlign val="superscript"/>
        <sz val="10"/>
        <color rgb="FF000000"/>
        <rFont val="Arial"/>
      </rPr>
      <t>2</t>
    </r>
  </si>
  <si>
    <t>Total estimated Scope 3 GHG emissions</t>
  </si>
  <si>
    <r>
      <rPr>
        <vertAlign val="superscript"/>
        <sz val="8"/>
        <color rgb="FF000000"/>
        <rFont val="Arial"/>
      </rPr>
      <t xml:space="preserve">1 </t>
    </r>
    <r>
      <rPr>
        <sz val="8"/>
        <color rgb="FF000000"/>
        <rFont val="Arial"/>
      </rPr>
      <t>Our 2019 fi</t>
    </r>
    <r>
      <rPr>
        <sz val="8"/>
        <color rgb="FF000000"/>
        <rFont val="Arial"/>
      </rPr>
      <t xml:space="preserve">gures differ from what was reported in </t>
    </r>
    <r>
      <rPr>
        <sz val="8"/>
        <color rgb="FF000000"/>
        <rFont val="Arial"/>
      </rPr>
      <t>our 2019 Annual Sustainability Report due to a rebaslin</t>
    </r>
    <r>
      <rPr>
        <sz val="8"/>
        <color rgb="FF000000"/>
        <rFont val="Arial"/>
      </rPr>
      <t>ing excer</t>
    </r>
    <r>
      <rPr>
        <sz val="8"/>
        <color rgb="FF000000"/>
        <rFont val="Arial"/>
      </rPr>
      <t>cise that we completed t</t>
    </r>
    <r>
      <rPr>
        <sz val="8"/>
        <color rgb="FF000000"/>
        <rFont val="Arial"/>
      </rPr>
      <t>o set our Science</t>
    </r>
    <r>
      <rPr>
        <sz val="8"/>
        <color rgb="FF000000"/>
        <rFont val="Arial"/>
      </rPr>
      <t xml:space="preserve">-Based Scope 3 </t>
    </r>
    <r>
      <rPr>
        <sz val="8"/>
        <color rgb="FF000000"/>
        <rFont val="Arial"/>
      </rPr>
      <t xml:space="preserve">Target.
</t>
    </r>
    <r>
      <rPr>
        <vertAlign val="superscript"/>
        <sz val="8"/>
        <color rgb="FF000000"/>
        <rFont val="Arial"/>
      </rPr>
      <t>2</t>
    </r>
    <r>
      <rPr>
        <sz val="8"/>
        <color rgb="FF000000"/>
        <rFont val="Arial"/>
      </rPr>
      <t xml:space="preserve"> Scope 3 emission source numbers 8, 11,</t>
    </r>
    <r>
      <rPr>
        <sz val="8"/>
        <color rgb="FF000000"/>
        <rFont val="Arial"/>
      </rPr>
      <t>12</t>
    </r>
    <r>
      <rPr>
        <sz val="8"/>
        <color rgb="FF000000"/>
        <rFont val="Arial"/>
      </rPr>
      <t xml:space="preserve"> 13, </t>
    </r>
    <r>
      <rPr>
        <sz val="8"/>
        <color rgb="FF000000"/>
        <rFont val="Arial"/>
      </rPr>
      <t xml:space="preserve">and </t>
    </r>
    <r>
      <rPr>
        <sz val="8"/>
        <color rgb="FF000000"/>
        <rFont val="Arial"/>
      </rPr>
      <t>14</t>
    </r>
    <r>
      <rPr>
        <sz val="8"/>
        <color rgb="FF000000"/>
        <rFont val="Arial"/>
      </rPr>
      <t xml:space="preserve"> are not applicable (N/A) to Newmont.
</t>
    </r>
    <r>
      <rPr>
        <vertAlign val="superscript"/>
        <sz val="8"/>
        <color rgb="FF000000"/>
        <rFont val="Arial"/>
      </rPr>
      <t>3</t>
    </r>
    <r>
      <rPr>
        <sz val="8"/>
        <color rgb="FF000000"/>
        <rFont val="Arial"/>
      </rPr>
      <t xml:space="preserve"> GRI Standards disclosure GRI 305-3: Other indirect (Scope 3) GHG emissions. </t>
    </r>
    <r>
      <rPr>
        <sz val="8"/>
        <color rgb="FF000000"/>
        <rFont val="Arial"/>
      </rPr>
      <t xml:space="preserve">Aligns with TCFD-M: b) Scope 1, Scope 2, and if appropriate, Scope 3 GHG emissions and related risks. 
</t>
    </r>
    <r>
      <rPr>
        <vertAlign val="superscript"/>
        <sz val="8"/>
        <color rgb="FF000000"/>
        <rFont val="Arial"/>
      </rPr>
      <t>4</t>
    </r>
    <r>
      <rPr>
        <sz val="8"/>
        <color rgb="FF000000"/>
        <rFont val="Arial"/>
      </rPr>
      <t xml:space="preserve"> </t>
    </r>
    <r>
      <rPr>
        <sz val="8"/>
        <color rgb="FF000000"/>
        <rFont val="Arial"/>
      </rPr>
      <t xml:space="preserve">We only started disclosing Scope </t>
    </r>
    <r>
      <rPr>
        <sz val="8"/>
        <color rgb="FF000000"/>
        <rFont val="Arial"/>
      </rPr>
      <t>3 emissions in 2019, but this table will be a trailing 5 ye</t>
    </r>
    <r>
      <rPr>
        <sz val="8"/>
        <color rgb="FF000000"/>
        <rFont val="Arial"/>
      </rPr>
      <t xml:space="preserve">ar table </t>
    </r>
    <r>
      <rPr>
        <sz val="8"/>
        <color rgb="FF000000"/>
        <rFont val="Arial"/>
      </rPr>
      <t>eventually.</t>
    </r>
  </si>
  <si>
    <t>Indirect energy consumed by source</t>
  </si>
  <si>
    <t>Total Grid Electricity</t>
  </si>
  <si>
    <r>
      <rPr>
        <vertAlign val="superscript"/>
        <sz val="8"/>
        <color rgb="FF000000"/>
        <rFont val="Arial"/>
      </rPr>
      <t>1</t>
    </r>
    <r>
      <rPr>
        <sz val="8"/>
        <color rgb="FF000000"/>
        <rFont val="Arial"/>
      </rPr>
      <t xml:space="preserve"> </t>
    </r>
    <r>
      <rPr>
        <sz val="8"/>
        <color rgb="FF000000"/>
        <rFont val="Arial"/>
      </rPr>
      <t xml:space="preserve">To ensure consistency and comparable reporting boundaries across energy and climate data disclosed, 2019 data omits Nevada TS Power Plant data to align with GHG Protocol Corporate Accounting and Reporting Standard for Merger and Acquisition year reporting guidance. 2015-2018 data is restated to include former Goldcorp site data for accounting and comparability purposes; 2019 data includes full year data for former Goldcorp assets acquired by Newmont on April 18, 2019. Greenhouse gas emissions are calculated using emission factors from the Climate Registry and the Australian Government National Greenhouse Accounts Factors.
</t>
    </r>
    <r>
      <rPr>
        <vertAlign val="superscript"/>
        <sz val="8"/>
        <color rgb="FF000000"/>
        <rFont val="Arial"/>
      </rPr>
      <t>2</t>
    </r>
    <r>
      <rPr>
        <sz val="8"/>
        <color rgb="FF000000"/>
        <rFont val="Arial"/>
      </rPr>
      <t xml:space="preserve"> Some figure may not add up to the total</t>
    </r>
    <r>
      <rPr>
        <sz val="8"/>
        <color rgb="FF000000"/>
        <rFont val="Arial"/>
      </rPr>
      <t xml:space="preserve"> due to rounding.
</t>
    </r>
    <r>
      <rPr>
        <vertAlign val="superscript"/>
        <sz val="8"/>
        <color rgb="FF000000"/>
        <rFont val="Arial"/>
      </rPr>
      <t>3</t>
    </r>
    <r>
      <rPr>
        <sz val="8"/>
        <color rgb="FF000000"/>
        <rFont val="Arial"/>
      </rPr>
      <t xml:space="preserve"> </t>
    </r>
    <r>
      <rPr>
        <sz val="8"/>
        <color rgb="FF000000"/>
        <rFont val="Arial"/>
      </rPr>
      <t>GRI Standards disclosure: GRI: 305-1: Direct (Scope 1) GHG Emissions, GRI: 305-2: Energy indirect (Scope 2) GHG emissions; SASB Metals &amp; Mining Sustainability Accounting Standard EM-MM-110a.1: Gross global Scope 1 emissions, percentage covered under emissions-limiting regulations (reference separate table for percentage covered under emissions-limiting regulations). Aligns with TCFD-M: a) Metrics used to assess climate related risks and opportunities in line with its strategy and risk management processes, and TCFD-M: b) Scope 1, Scope 2, and if appropriate, Scope 3 GHG emissions and related risks.</t>
    </r>
    <r>
      <rPr>
        <sz val="8"/>
        <color rgb="FF000000"/>
        <rFont val="Arial"/>
      </rPr>
      <t xml:space="preserve"> </t>
    </r>
  </si>
  <si>
    <r>
      <rPr>
        <vertAlign val="superscript"/>
        <sz val="8"/>
        <color rgb="FF000000"/>
        <rFont val="Arial"/>
      </rPr>
      <t>1</t>
    </r>
    <r>
      <rPr>
        <sz val="8"/>
        <color rgb="FF000000"/>
        <rFont val="Arial"/>
      </rPr>
      <t xml:space="preserve"> </t>
    </r>
    <r>
      <rPr>
        <sz val="8"/>
        <color rgb="FF000000"/>
        <rFont val="Arial"/>
      </rPr>
      <t xml:space="preserve">To ensure consistency and comparable reporting boundaries across energy and climate data disclosed, 2019 direct coal-sourced energy omits Nevada TS Power Plant data to align with GHG Protocol Corporate Accounting and Reporting Standard for Merger and Acquisition year reporting guidance. This data had been reported in previous years. Newmont's 2015-2019 data is restated to exclude assets divested on or before December 31, 2019; 2015-2019 data includes full year data for former Goldcorp assets acquired by Newmont on April 18, 2019.
</t>
    </r>
    <r>
      <rPr>
        <vertAlign val="superscript"/>
        <sz val="8"/>
        <color rgb="FF000000"/>
        <rFont val="Arial"/>
      </rPr>
      <t>2</t>
    </r>
    <r>
      <rPr>
        <sz val="8"/>
        <color rgb="FF000000"/>
        <rFont val="Arial"/>
      </rPr>
      <t xml:space="preserve"> </t>
    </r>
    <r>
      <rPr>
        <sz val="8"/>
        <color rgb="FF000000"/>
        <rFont val="Arial"/>
      </rPr>
      <t>GRI Standards disclosures GRI 302-1: Energy consumption within the organization and GRI 302-2: Energy consumption outside of the organization; SASB Sustainability Accounting Standard Metals &amp; Mining sector disclosure: SASB EM-MM-130a.1: (1) Total energy consumed. Aligns with TCFD-Metrics &amp; Targets (TCFD-M): a) Metrics used to assess climate-related risks and opportunities in line with its strategy and risk management processes.</t>
    </r>
  </si>
  <si>
    <r>
      <rPr>
        <vertAlign val="superscript"/>
        <sz val="8"/>
        <color rgb="FF000000"/>
        <rFont val="Arial"/>
      </rPr>
      <t>1</t>
    </r>
    <r>
      <rPr>
        <sz val="8"/>
        <color rgb="FF000000"/>
        <rFont val="Arial"/>
      </rPr>
      <t xml:space="preserve"> </t>
    </r>
    <r>
      <rPr>
        <sz val="8"/>
        <color rgb="FF000000"/>
        <rFont val="Arial"/>
      </rPr>
      <t xml:space="preserve">To ensure consistency and comparable reporting boundaries across energy and climate data disclosed, 2019 direct coal-sourced energy omits Nevada TS Power Plant data to align with GHG Protocol Corporate Accounting and Reporting Standard for Merger and Acquisition year reporting guidance. This data had been reported in previous years; 2019 data includes full year data for former Goldcorp assets acquired by Newmont on April 18, 2019.   
</t>
    </r>
    <r>
      <rPr>
        <vertAlign val="superscript"/>
        <sz val="8"/>
        <color rgb="FF000000"/>
        <rFont val="Arial"/>
      </rPr>
      <t>2</t>
    </r>
    <r>
      <rPr>
        <sz val="8"/>
        <color rgb="FF000000"/>
        <rFont val="Arial"/>
      </rPr>
      <t xml:space="preserve"> </t>
    </r>
    <r>
      <rPr>
        <sz val="8"/>
        <color rgb="FF000000"/>
        <rFont val="Arial"/>
      </rPr>
      <t>Newmont began reporting solar production 2019 forward. Newmont's Akyem mine in Ghana installed a 120-kilowatt (kW) solar plant in August 2018 and began reporting direct solar energy generated on-site in the 2019 reporting year.</t>
    </r>
    <r>
      <rPr>
        <sz val="8"/>
        <color rgb="FF000000"/>
        <rFont val="Arial"/>
      </rPr>
      <t xml:space="preserve"> 
</t>
    </r>
    <r>
      <rPr>
        <vertAlign val="superscript"/>
        <sz val="8"/>
        <color rgb="FF000000"/>
        <rFont val="Arial"/>
      </rPr>
      <t>3</t>
    </r>
    <r>
      <rPr>
        <sz val="8"/>
        <color rgb="FF000000"/>
        <rFont val="Arial"/>
      </rPr>
      <t xml:space="preserve"> </t>
    </r>
    <r>
      <rPr>
        <sz val="8"/>
        <color rgb="FF000000"/>
        <rFont val="Arial"/>
      </rPr>
      <t>GRI Standard disclosure 302-1: Energy consumption within the organization.</t>
    </r>
  </si>
  <si>
    <r>
      <rPr>
        <vertAlign val="superscript"/>
        <sz val="8"/>
        <color rgb="FF000000"/>
        <rFont val="Arial"/>
      </rPr>
      <t>1</t>
    </r>
    <r>
      <rPr>
        <sz val="8"/>
        <color rgb="FF000000"/>
        <rFont val="Arial"/>
      </rPr>
      <t xml:space="preserve"> </t>
    </r>
    <r>
      <rPr>
        <sz val="8"/>
        <color rgb="FF000000"/>
        <rFont val="Arial"/>
      </rPr>
      <t xml:space="preserve">To ensure consistency and comparable reporting boundaries across energy and climate data disclosed, 2019 data omits Nevada TS Power Plant data to align with GHG Protocol Corporate Accounting and Reporting Standard for Merger and Acquisition year reporting guidance. 2019 data includes full year data for former Goldcorp assets acquired by Newmont on April 18, 2019. Greenhouse gas emissions are calculated using emission factors from the Climate Registry and the Australian Government National Greenhouse Accounts Factors.
</t>
    </r>
    <r>
      <rPr>
        <vertAlign val="superscript"/>
        <sz val="8"/>
        <color rgb="FF000000"/>
        <rFont val="Arial"/>
      </rPr>
      <t>2</t>
    </r>
    <r>
      <rPr>
        <sz val="8"/>
        <color rgb="FF000000"/>
        <rFont val="Arial"/>
      </rPr>
      <t xml:space="preserve"> </t>
    </r>
    <r>
      <rPr>
        <sz val="8"/>
        <color rgb="FF000000"/>
        <rFont val="Arial"/>
      </rPr>
      <t>GRI Standards disclosures GRI: 305-1: Direct (Scope 1) GHG Emissions and GRI: 305-2: Energy indirect (Scope 2) GHG emissions; SASB Metals &amp; Mining Sustainability Accounting Standard EM-MM-110a.1: Gross global Scope 1 emissions, percentage covered under emissions-limiting regulations (reference separate table for percentage covered under emissions-limiting regulations). Aligns with TCFD-M: a) Metrics used to assess climate related risks and opportunities in line with its strategy and risk management processes, and TCFD-M: b) Scope 1, Scope 2, and if appropriate, Scope 3 GHG emissions and related risks.</t>
    </r>
  </si>
  <si>
    <r>
      <rPr>
        <vertAlign val="superscript"/>
        <sz val="8"/>
        <color rgb="FF000000"/>
        <rFont val="Arial"/>
      </rPr>
      <t>1</t>
    </r>
    <r>
      <rPr>
        <sz val="8"/>
        <color rgb="FF000000"/>
        <rFont val="Arial"/>
      </rPr>
      <t xml:space="preserve"> GRI Standards disclosure: GRI 302-1: Energy consumption within the organization, GRI 302-2: Energy consumption outside of the organization. SASB Metals &amp; Mining Sustainability Accounting Standard SASB EM-MM-130a.1. (1) Total energy consumed, (2) percentage grid electricity, (3) percentage renewable.</t>
    </r>
  </si>
  <si>
    <r>
      <rPr>
        <vertAlign val="superscript"/>
        <sz val="8"/>
        <color rgb="FF000000"/>
        <rFont val="Arial"/>
      </rPr>
      <t>1</t>
    </r>
    <r>
      <rPr>
        <sz val="8"/>
        <color rgb="FF000000"/>
        <rFont val="Arial"/>
      </rPr>
      <t xml:space="preserve"> </t>
    </r>
    <r>
      <rPr>
        <sz val="8"/>
        <color rgb="FF000000"/>
        <rFont val="Arial"/>
      </rPr>
      <t xml:space="preserve">To ensure consistency and comparable reporting boundaries across energy and climate data disclosed, 2019 direct coal-sourced energy omits Nevada TS Power Plant data to align with GHG Protocol Corporate Accounting and Reporting Standard for Merger and Acquisition year reporting guidance. This data had been reported in previous years. Newmont's 2015-2019 data is restated to exclude assets divested on or before December 31, 2019; 2015-2019 data includes full year data for former Goldcorp assets acquired by Newmont on April 18, 2019.
</t>
    </r>
    <r>
      <rPr>
        <vertAlign val="superscript"/>
        <sz val="8"/>
        <color rgb="FF000000"/>
        <rFont val="Arial"/>
      </rPr>
      <t>2</t>
    </r>
    <r>
      <rPr>
        <sz val="8"/>
        <color rgb="FF000000"/>
        <rFont val="Arial"/>
      </rPr>
      <t xml:space="preserve"> </t>
    </r>
    <r>
      <rPr>
        <sz val="8"/>
        <color rgb="FF000000"/>
        <rFont val="Arial"/>
      </rPr>
      <t xml:space="preserve">Newmont reported aggregated renewable data from former Newmont and former Goldcorp assets from 2015-2018; 2019 data includes the full year of Goldcorp data and omits Nevada data; in 2019 and future years, Newmont plans to report a full breakout of direct renewable energy by source.
</t>
    </r>
    <r>
      <rPr>
        <vertAlign val="superscript"/>
        <sz val="8"/>
        <color rgb="FF000000"/>
        <rFont val="Arial"/>
      </rPr>
      <t>3</t>
    </r>
    <r>
      <rPr>
        <vertAlign val="superscript"/>
        <sz val="8"/>
        <color rgb="FF000000"/>
        <rFont val="Arial"/>
      </rPr>
      <t xml:space="preserve"> </t>
    </r>
    <r>
      <rPr>
        <sz val="8"/>
        <color rgb="FF000000"/>
        <rFont val="Arial"/>
      </rPr>
      <t>The Biodiesel used at s</t>
    </r>
    <r>
      <rPr>
        <sz val="8"/>
        <color rgb="FF000000"/>
        <rFont val="Arial"/>
      </rPr>
      <t>ome of Newmont's operations i</t>
    </r>
    <r>
      <rPr>
        <sz val="8"/>
        <color rgb="FF000000"/>
        <rFont val="Arial"/>
      </rPr>
      <t>s 96% diesel. The em</t>
    </r>
    <r>
      <rPr>
        <sz val="8"/>
        <color rgb="FF000000"/>
        <rFont val="Arial"/>
      </rPr>
      <t>ission factor used for its associated emissions i</t>
    </r>
    <r>
      <rPr>
        <sz val="8"/>
        <color rgb="FF000000"/>
        <rFont val="Arial"/>
      </rPr>
      <t xml:space="preserve">s </t>
    </r>
    <r>
      <rPr>
        <sz val="8"/>
        <color rgb="FF000000"/>
        <rFont val="Arial"/>
      </rPr>
      <t xml:space="preserve">only slightly less than that of diesel.
</t>
    </r>
    <r>
      <rPr>
        <vertAlign val="superscript"/>
        <sz val="8"/>
        <color rgb="FF000000"/>
        <rFont val="Arial"/>
      </rPr>
      <t>4</t>
    </r>
    <r>
      <rPr>
        <sz val="8"/>
        <color rgb="FF000000"/>
        <rFont val="Arial"/>
      </rPr>
      <t xml:space="preserve"> </t>
    </r>
    <r>
      <rPr>
        <sz val="8"/>
        <color rgb="FF000000"/>
        <rFont val="Arial"/>
      </rPr>
      <t>GRI Standards disclosures GRI 302-1: Energy consumption within the organization and GRI 302-2: Energy consumption outside of the organization; SASB Sustainability Accounting Standard Metals &amp; Mining sector disclosure: SASB EM-MM-130a.1: (1) Total energy consumed. Aligns with TCFD-Metrics &amp; Targets (TCFD-M): a) Metrics used to assess climate-related risks and opportunities in line with its strategy and risk management processes.</t>
    </r>
  </si>
  <si>
    <t>ENVIRONMENT: CLOSURE AND RECLAMATION</t>
  </si>
  <si>
    <t>Total land disturbance - closing balance reported for 2019 calendar year</t>
  </si>
  <si>
    <t>Subsequent survey corrections on 2019 balance</t>
  </si>
  <si>
    <t>Total disturbance at beginning of reporting period (opening balance)</t>
  </si>
  <si>
    <t>New disturbance during 2020</t>
  </si>
  <si>
    <t>Previously reclaimed area re-disturbed during 2020</t>
  </si>
  <si>
    <t>Achieved reclamation (to agreed upon end use) during reporting period</t>
  </si>
  <si>
    <t>Total disturbance not yet reclaimed to agreed upon end use at end of reporting period (closing balance)</t>
  </si>
  <si>
    <r>
      <rPr>
        <b/>
        <sz val="10"/>
        <color rgb="FF000000"/>
        <rFont val="Arial"/>
      </rPr>
      <t>Land disturbance: Trailing five year data (thousand ha)</t>
    </r>
    <r>
      <rPr>
        <b/>
        <vertAlign val="superscript"/>
        <sz val="10"/>
        <color rgb="FF000000"/>
        <rFont val="Arial"/>
      </rPr>
      <t>1</t>
    </r>
  </si>
  <si>
    <t>Country and site</t>
  </si>
  <si>
    <t>Hectares</t>
  </si>
  <si>
    <t>Annual disturbance not yet reclaimed to agreed upon end use at year-end</t>
  </si>
  <si>
    <r>
      <rPr>
        <vertAlign val="superscript"/>
        <sz val="8"/>
        <color rgb="FF000000"/>
        <rFont val="Arial"/>
      </rPr>
      <t xml:space="preserve">1 </t>
    </r>
    <r>
      <rPr>
        <sz val="8"/>
        <color rgb="FF000000"/>
        <rFont val="Arial"/>
      </rPr>
      <t>GRI Mining &amp; Metals sector supplement disclosure MM1: Amount of land (owned or leased, and managed for production activities or extractive use) disturbed or rehabilitated.</t>
    </r>
  </si>
  <si>
    <r>
      <rPr>
        <vertAlign val="superscript"/>
        <sz val="8"/>
        <color rgb="FF000000"/>
        <rFont val="Arial"/>
      </rPr>
      <t>1</t>
    </r>
    <r>
      <rPr>
        <vertAlign val="superscript"/>
        <sz val="8"/>
        <color rgb="FF000000"/>
        <rFont val="Arial"/>
      </rPr>
      <t xml:space="preserve"> </t>
    </r>
    <r>
      <rPr>
        <sz val="8"/>
        <color rgb="FF000000"/>
        <rFont val="Arial"/>
      </rPr>
      <t>Twelve</t>
    </r>
    <r>
      <rPr>
        <sz val="8"/>
        <color rgb="FF000000"/>
        <rFont val="Arial"/>
      </rPr>
      <t xml:space="preserve"> of Newmont's sites, representing 100% of Newmont's active mine sites, have closure plans in place as of year-end 20</t>
    </r>
    <r>
      <rPr>
        <sz val="8"/>
        <color rgb="FF000000"/>
        <rFont val="Arial"/>
      </rPr>
      <t>20</t>
    </r>
    <r>
      <rPr>
        <sz val="8"/>
        <color rgb="FF000000"/>
        <rFont val="Arial"/>
      </rPr>
      <t xml:space="preserve">. 
</t>
    </r>
    <r>
      <rPr>
        <vertAlign val="superscript"/>
        <sz val="8"/>
        <color rgb="FF000000"/>
        <rFont val="Arial"/>
      </rPr>
      <t>2</t>
    </r>
    <r>
      <rPr>
        <sz val="8"/>
        <color rgb="FF000000"/>
        <rFont val="Arial"/>
      </rPr>
      <t xml:space="preserve"> Our 202</t>
    </r>
    <r>
      <rPr>
        <sz val="8"/>
        <color rgb="FF000000"/>
        <rFont val="Arial"/>
      </rPr>
      <t>0</t>
    </r>
    <r>
      <rPr>
        <sz val="8"/>
        <color rgb="FF000000"/>
        <rFont val="Arial"/>
      </rPr>
      <t xml:space="preserve"> Closure target was to acheive 9</t>
    </r>
    <r>
      <rPr>
        <sz val="8"/>
        <color rgb="FF000000"/>
        <rFont val="Arial"/>
      </rPr>
      <t>0</t>
    </r>
    <r>
      <rPr>
        <sz val="8"/>
        <color rgb="FF000000"/>
        <rFont val="Arial"/>
      </rPr>
      <t xml:space="preserve">% of planned reclamation activites/associated actions across the </t>
    </r>
    <r>
      <rPr>
        <sz val="8"/>
        <color rgb="FF000000"/>
        <rFont val="Arial"/>
      </rPr>
      <t>Company.</t>
    </r>
    <r>
      <rPr>
        <sz val="8"/>
        <color rgb="FF000000"/>
        <rFont val="Arial"/>
      </rPr>
      <t xml:space="preserve"> This was not met due to</t>
    </r>
    <r>
      <rPr>
        <sz val="8"/>
        <color rgb="FF000000"/>
        <rFont val="Arial"/>
      </rPr>
      <t xml:space="preserve"> delays realted to the pandemic. For 2021, the </t>
    </r>
    <r>
      <rPr>
        <sz val="8"/>
        <color rgb="FF000000"/>
        <rFont val="Arial"/>
      </rPr>
      <t>Closure target is to acheive 95% of planned reclamation acticites/</t>
    </r>
    <r>
      <rPr>
        <sz val="8"/>
        <color rgb="FF000000"/>
        <rFont val="Arial"/>
      </rPr>
      <t>associated actions across the co</t>
    </r>
    <r>
      <rPr>
        <sz val="8"/>
        <color rgb="FF000000"/>
        <rFont val="Arial"/>
      </rPr>
      <t xml:space="preserve">mpany.
</t>
    </r>
    <r>
      <rPr>
        <vertAlign val="superscript"/>
        <sz val="8"/>
        <color rgb="FF000000"/>
        <rFont val="Arial"/>
      </rPr>
      <t>3</t>
    </r>
    <r>
      <rPr>
        <sz val="8"/>
        <color rgb="FF000000"/>
        <rFont val="Arial"/>
      </rPr>
      <t xml:space="preserve"> </t>
    </r>
    <r>
      <rPr>
        <sz val="8"/>
        <color rgb="FF000000"/>
        <rFont val="Arial"/>
      </rPr>
      <t>GRI Mining &amp; Metals sector supplement disclosure MM1: Amount of land (owned or leased, and managed for production activities or extractive use) disturbed or rehabilitated and MM10: Number and percentage of sites with closure plan in place.</t>
    </r>
  </si>
  <si>
    <r>
      <rPr>
        <vertAlign val="superscript"/>
        <sz val="8"/>
        <color rgb="FF000000"/>
        <rFont val="Arial"/>
      </rPr>
      <t>1</t>
    </r>
    <r>
      <rPr>
        <sz val="8"/>
        <color rgb="FF000000"/>
        <rFont val="Arial"/>
      </rPr>
      <t xml:space="preserve"> </t>
    </r>
    <r>
      <rPr>
        <sz val="8"/>
        <color rgb="FF000000"/>
        <rFont val="Arial"/>
      </rPr>
      <t xml:space="preserve">Some </t>
    </r>
    <r>
      <rPr>
        <sz val="8"/>
        <color rgb="FF000000"/>
        <rFont val="Arial"/>
      </rPr>
      <t xml:space="preserve">figures might not add up correctly due to rounding.
</t>
    </r>
    <r>
      <rPr>
        <vertAlign val="superscript"/>
        <sz val="8"/>
        <color rgb="FF000000"/>
        <rFont val="Arial"/>
      </rPr>
      <t>2</t>
    </r>
    <r>
      <rPr>
        <sz val="8"/>
        <color rgb="FF000000"/>
        <rFont val="Arial"/>
      </rPr>
      <t>GRI Mining &amp; Metals sector supplement disclosure MM1: Amount of land (owned or leased, and managed for production activities or extractive use) disturbed or rehabilitated.</t>
    </r>
  </si>
  <si>
    <t>ENVIRONMENT: CYANIDE MANAGEMENT</t>
  </si>
  <si>
    <r>
      <rPr>
        <b/>
        <sz val="10"/>
        <color rgb="FF000000"/>
        <rFont val="Arial"/>
      </rPr>
      <t>Estimated cyanide use (thousand tonnes): Trailing five year data</t>
    </r>
    <r>
      <rPr>
        <b/>
        <vertAlign val="superscript"/>
        <sz val="10"/>
        <color rgb="FF000000"/>
        <rFont val="Arial"/>
      </rPr>
      <t>1</t>
    </r>
  </si>
  <si>
    <t>Release off site requires response or remediation</t>
  </si>
  <si>
    <t>Adverse effects to the environment</t>
  </si>
  <si>
    <t>Required reporting under applicable regulations</t>
  </si>
  <si>
    <t>Exceedances of applicable limits of Cyanide Code</t>
  </si>
  <si>
    <t>Cyanide use</t>
  </si>
  <si>
    <r>
      <rPr>
        <vertAlign val="superscript"/>
        <sz val="8"/>
        <color rgb="FF000000"/>
        <rFont val="Arial"/>
      </rPr>
      <t xml:space="preserve">1 </t>
    </r>
    <r>
      <rPr>
        <sz val="8"/>
        <color rgb="FF000000"/>
        <rFont val="Arial"/>
      </rPr>
      <t>Cyanide usage data is estimated based on annual procurement data recorded in Newmont's accounting system</t>
    </r>
  </si>
  <si>
    <r>
      <rPr>
        <vertAlign val="superscript"/>
        <sz val="8"/>
        <color rgb="FF000000"/>
        <rFont val="Arial"/>
      </rPr>
      <t>1</t>
    </r>
    <r>
      <rPr>
        <sz val="8"/>
        <color rgb="FF000000"/>
        <rFont val="Arial"/>
      </rPr>
      <t xml:space="preserve"> Cyanide-related biodiversity impacts are wildlife fatalities; for a full listing of wildlife fatalities, refer to the Biodiversity wildlife mortality table. 
</t>
    </r>
    <r>
      <rPr>
        <vertAlign val="superscript"/>
        <sz val="8"/>
        <color rgb="FF000000"/>
        <rFont val="Arial"/>
      </rPr>
      <t xml:space="preserve">2 </t>
    </r>
    <r>
      <rPr>
        <sz val="8"/>
        <color rgb="FF000000"/>
        <rFont val="Arial"/>
      </rPr>
      <t>International Cyanide Management Code (ICMC) certification is publicly available at: https://www.cyanidecode.org/signatory-company-categories/newmont-corporation-united-states.</t>
    </r>
  </si>
  <si>
    <t xml:space="preserve">ENVIRONMENT: SIGNIFICANT MATERIALS CONSUMPTION </t>
  </si>
  <si>
    <t>2019 Materials Usage by Site</t>
  </si>
  <si>
    <t>Grinding media</t>
  </si>
  <si>
    <t>Sodium cyanide (NaCN)</t>
  </si>
  <si>
    <t>Lime</t>
  </si>
  <si>
    <t>Cement</t>
  </si>
  <si>
    <t>Tires (by weight)</t>
  </si>
  <si>
    <t>Lubricants</t>
  </si>
  <si>
    <t>Hydrochloric acid (HCL)</t>
  </si>
  <si>
    <r>
      <rPr>
        <b/>
        <sz val="10"/>
        <color rgb="FF000000"/>
        <rFont val="Arial"/>
      </rPr>
      <t>Sulfuric acid (H</t>
    </r>
    <r>
      <rPr>
        <b/>
        <vertAlign val="subscript"/>
        <sz val="10"/>
        <color rgb="FF000000"/>
        <rFont val="Arial"/>
      </rPr>
      <t>2</t>
    </r>
    <r>
      <rPr>
        <b/>
        <sz val="10"/>
        <color rgb="FF000000"/>
        <rFont val="Arial"/>
      </rPr>
      <t>SO</t>
    </r>
    <r>
      <rPr>
        <b/>
        <vertAlign val="subscript"/>
        <sz val="10"/>
        <color rgb="FF000000"/>
        <rFont val="Arial"/>
      </rPr>
      <t>4</t>
    </r>
    <r>
      <rPr>
        <b/>
        <sz val="10"/>
        <color rgb="FF000000"/>
        <rFont val="Arial"/>
      </rPr>
      <t>)</t>
    </r>
  </si>
  <si>
    <r>
      <rPr>
        <b/>
        <sz val="10"/>
        <color rgb="FF000000"/>
        <rFont val="Arial"/>
      </rPr>
      <t>Nitric acid (HNO</t>
    </r>
    <r>
      <rPr>
        <b/>
        <vertAlign val="subscript"/>
        <sz val="10"/>
        <color rgb="FF000000"/>
        <rFont val="Arial"/>
      </rPr>
      <t>3</t>
    </r>
    <r>
      <rPr>
        <b/>
        <sz val="10"/>
        <color rgb="FF000000"/>
        <rFont val="Arial"/>
      </rPr>
      <t>)</t>
    </r>
  </si>
  <si>
    <r>
      <rPr>
        <b/>
        <sz val="10"/>
        <color rgb="FF000000"/>
        <rFont val="Arial"/>
      </rPr>
      <t>Sodium cyanide (NaCN</t>
    </r>
    <r>
      <rPr>
        <b/>
        <sz val="10"/>
        <color rgb="FF000000"/>
        <rFont val="Arial"/>
      </rPr>
      <t>)</t>
    </r>
    <r>
      <rPr>
        <b/>
        <vertAlign val="superscript"/>
        <sz val="10"/>
        <color rgb="FF000000"/>
        <rFont val="Arial"/>
      </rPr>
      <t>1</t>
    </r>
  </si>
  <si>
    <r>
      <rPr>
        <b/>
        <sz val="10"/>
        <color rgb="FF000000"/>
        <rFont val="Arial"/>
      </rPr>
      <t>Estimated materials usage: Trailing five year data</t>
    </r>
    <r>
      <rPr>
        <b/>
        <vertAlign val="superscript"/>
        <sz val="10"/>
        <color rgb="FF000000"/>
        <rFont val="Arial"/>
      </rPr>
      <t xml:space="preserve">1, </t>
    </r>
    <r>
      <rPr>
        <b/>
        <vertAlign val="superscript"/>
        <sz val="10"/>
        <color rgb="FF000000"/>
        <rFont val="Arial"/>
      </rPr>
      <t>4</t>
    </r>
  </si>
  <si>
    <t>Unit of measure</t>
  </si>
  <si>
    <t>kiloliters</t>
  </si>
  <si>
    <t>Units of measure</t>
  </si>
  <si>
    <t>thousand kiloliters</t>
  </si>
  <si>
    <r>
      <rPr>
        <sz val="10"/>
        <color rgb="FF000000"/>
        <rFont val="Arial"/>
      </rPr>
      <t>Sodium cyanide</t>
    </r>
    <r>
      <rPr>
        <vertAlign val="superscript"/>
        <sz val="10"/>
        <color rgb="FF000000"/>
        <rFont val="Arial"/>
      </rPr>
      <t>2</t>
    </r>
  </si>
  <si>
    <t>United States</t>
  </si>
  <si>
    <t>thousand kL</t>
  </si>
  <si>
    <t>Eleonore</t>
  </si>
  <si>
    <r>
      <rPr>
        <sz val="10"/>
        <color rgb="FF000000"/>
        <rFont val="Arial"/>
      </rPr>
      <t>Sulfuric acid (H</t>
    </r>
    <r>
      <rPr>
        <vertAlign val="subscript"/>
        <sz val="10"/>
        <color rgb="FF000000"/>
        <rFont val="Arial"/>
      </rPr>
      <t>2</t>
    </r>
    <r>
      <rPr>
        <sz val="10"/>
        <color rgb="FF000000"/>
        <rFont val="Arial"/>
      </rPr>
      <t>SO</t>
    </r>
    <r>
      <rPr>
        <vertAlign val="subscript"/>
        <sz val="10"/>
        <color rgb="FF000000"/>
        <rFont val="Arial"/>
      </rPr>
      <t>4</t>
    </r>
    <r>
      <rPr>
        <sz val="10"/>
        <color rgb="FF000000"/>
        <rFont val="Arial"/>
      </rPr>
      <t>)</t>
    </r>
  </si>
  <si>
    <r>
      <rPr>
        <sz val="10"/>
        <color rgb="FF000000"/>
        <rFont val="Arial"/>
      </rPr>
      <t>Nitric acid (HNO</t>
    </r>
    <r>
      <rPr>
        <vertAlign val="subscript"/>
        <sz val="10"/>
        <color rgb="FF000000"/>
        <rFont val="Arial"/>
      </rPr>
      <t>3</t>
    </r>
    <r>
      <rPr>
        <sz val="10"/>
        <color rgb="FF000000"/>
        <rFont val="Arial"/>
      </rPr>
      <t>)</t>
    </r>
    <r>
      <rPr>
        <vertAlign val="superscript"/>
        <sz val="10"/>
        <color rgb="FF000000"/>
        <rFont val="Arial"/>
      </rPr>
      <t>3</t>
    </r>
  </si>
  <si>
    <r>
      <rPr>
        <vertAlign val="superscript"/>
        <sz val="8"/>
        <color rgb="FF000000"/>
        <rFont val="Arial"/>
      </rPr>
      <t>1</t>
    </r>
    <r>
      <rPr>
        <sz val="8"/>
        <color rgb="FF000000"/>
        <rFont val="Arial"/>
      </rPr>
      <t xml:space="preserve"> </t>
    </r>
    <r>
      <rPr>
        <sz val="8"/>
        <color rgb="FF000000"/>
        <rFont val="Arial"/>
      </rPr>
      <t>2019 data omits Australia KCGM site data; trailing 201</t>
    </r>
    <r>
      <rPr>
        <sz val="8"/>
        <color rgb="FF000000"/>
        <rFont val="Arial"/>
      </rPr>
      <t>6</t>
    </r>
    <r>
      <rPr>
        <sz val="8"/>
        <color rgb="FF000000"/>
        <rFont val="Arial"/>
      </rPr>
      <t xml:space="preserve">-2018 data reflects former Newmont sites only.
</t>
    </r>
    <r>
      <rPr>
        <vertAlign val="superscript"/>
        <sz val="8"/>
        <color rgb="FF000000"/>
        <rFont val="Arial"/>
      </rPr>
      <t>2</t>
    </r>
    <r>
      <rPr>
        <sz val="8"/>
        <color rgb="FF000000"/>
        <rFont val="Arial"/>
      </rPr>
      <t xml:space="preserve"> </t>
    </r>
    <r>
      <rPr>
        <sz val="8"/>
        <color rgb="FF000000"/>
        <rFont val="Arial"/>
      </rPr>
      <t>Sodium cyanide quantities vary each year due to mineral variations in our ore bodies as well as processing variables.</t>
    </r>
    <r>
      <rPr>
        <sz val="8"/>
        <color rgb="FF000000"/>
        <rFont val="Arial"/>
      </rPr>
      <t xml:space="preserve"> </t>
    </r>
    <r>
      <rPr>
        <sz val="8"/>
        <color rgb="FF000000"/>
        <rFont val="Arial"/>
      </rPr>
      <t xml:space="preserve"> 
</t>
    </r>
    <r>
      <rPr>
        <vertAlign val="superscript"/>
        <sz val="8"/>
        <color rgb="FF000000"/>
        <rFont val="Arial"/>
      </rPr>
      <t>3</t>
    </r>
    <r>
      <rPr>
        <sz val="8"/>
        <color rgb="FF000000"/>
        <rFont val="Arial"/>
      </rPr>
      <t xml:space="preserve"> </t>
    </r>
    <r>
      <rPr>
        <sz val="8"/>
        <color rgb="FF000000"/>
        <rFont val="Arial"/>
      </rPr>
      <t>Nitric acid usage was not reported ('N/R') 201</t>
    </r>
    <r>
      <rPr>
        <sz val="8"/>
        <color rgb="FF000000"/>
        <rFont val="Arial"/>
      </rPr>
      <t>6</t>
    </r>
    <r>
      <rPr>
        <sz val="8"/>
        <color rgb="FF000000"/>
        <rFont val="Arial"/>
      </rPr>
      <t>-2018; this data will be reported from 2019 onwards on an annual basis.</t>
    </r>
    <r>
      <rPr>
        <sz val="8"/>
        <color rgb="FF000000"/>
        <rFont val="Arial"/>
      </rPr>
      <t xml:space="preserve"> 
</t>
    </r>
    <r>
      <rPr>
        <vertAlign val="superscript"/>
        <sz val="8"/>
        <color rgb="FF000000"/>
        <rFont val="Arial"/>
      </rPr>
      <t>4</t>
    </r>
    <r>
      <rPr>
        <sz val="8"/>
        <color rgb="FF000000"/>
        <rFont val="Arial"/>
      </rPr>
      <t xml:space="preserve"> </t>
    </r>
    <r>
      <rPr>
        <sz val="8"/>
        <color rgb="FF000000"/>
        <rFont val="Arial"/>
      </rPr>
      <t xml:space="preserve">GRI Standards disclosure GRI 301-1: Materials used by weight or volume. Materials consumption data is estimated based on annual procurement data recorded in Newmont's accounting system; 2019 data includes former Goldcorp sites April 18 - Dec. 31, 2019. </t>
    </r>
  </si>
  <si>
    <t>ENVIRONMENT: SPILLS AND RELEASES</t>
  </si>
  <si>
    <r>
      <rPr>
        <b/>
        <sz val="10"/>
        <color rgb="FF000000"/>
        <rFont val="Arial"/>
      </rPr>
      <t>Environmental releases by number of incidents: Trailing five year data</t>
    </r>
    <r>
      <rPr>
        <b/>
        <vertAlign val="superscript"/>
        <sz val="10"/>
        <color rgb="FF000000"/>
        <rFont val="Arial"/>
      </rPr>
      <t>1</t>
    </r>
    <r>
      <rPr>
        <b/>
        <vertAlign val="superscript"/>
        <sz val="10"/>
        <color rgb="FF000000"/>
        <rFont val="Arial"/>
      </rPr>
      <t>, 2</t>
    </r>
  </si>
  <si>
    <r>
      <rPr>
        <b/>
        <sz val="10"/>
        <color rgb="FF000000"/>
        <rFont val="Arial"/>
      </rPr>
      <t>Estimated environmental releases by volume: Trailing five year data</t>
    </r>
    <r>
      <rPr>
        <b/>
        <vertAlign val="superscript"/>
        <sz val="10"/>
        <color rgb="FF000000"/>
        <rFont val="Arial"/>
      </rPr>
      <t>2</t>
    </r>
  </si>
  <si>
    <t>Total environmental releases on site</t>
  </si>
  <si>
    <r>
      <rPr>
        <sz val="10"/>
        <color rgb="FF000000"/>
        <rFont val="Arial"/>
      </rPr>
      <t>Cyanide releases (kL)</t>
    </r>
    <r>
      <rPr>
        <vertAlign val="superscript"/>
        <sz val="10"/>
        <color rgb="FF000000"/>
        <rFont val="Arial"/>
      </rPr>
      <t>1</t>
    </r>
  </si>
  <si>
    <t>Total environmental releases off site</t>
  </si>
  <si>
    <t>Mercury releases (kg)</t>
  </si>
  <si>
    <t>Total environmental releases</t>
  </si>
  <si>
    <t>Significant hydrocarbon releases (kL)</t>
  </si>
  <si>
    <t>Cyanide releases</t>
  </si>
  <si>
    <t>Significant chemical releases (kL)</t>
  </si>
  <si>
    <t>Mercury releases</t>
  </si>
  <si>
    <t>Other significant releases (kL)</t>
  </si>
  <si>
    <t>Significant hydrocarbon releases</t>
  </si>
  <si>
    <r>
      <rPr>
        <vertAlign val="superscript"/>
        <sz val="8"/>
        <color rgb="FF000000"/>
        <rFont val="Arial"/>
      </rPr>
      <t>1</t>
    </r>
    <r>
      <rPr>
        <sz val="8"/>
        <color rgb="FF000000"/>
        <rFont val="Arial"/>
      </rPr>
      <t xml:space="preserve"> </t>
    </r>
    <r>
      <rPr>
        <sz val="8"/>
        <color rgb="FF000000"/>
        <rFont val="Arial"/>
      </rPr>
      <t xml:space="preserve">This includes </t>
    </r>
    <r>
      <rPr>
        <sz val="8"/>
        <color rgb="FF000000"/>
        <rFont val="Arial"/>
      </rPr>
      <t>c</t>
    </r>
    <r>
      <rPr>
        <sz val="8"/>
        <color rgb="FF000000"/>
        <rFont val="Arial"/>
      </rPr>
      <t>yanide in</t>
    </r>
    <r>
      <rPr>
        <sz val="8"/>
        <color rgb="FF000000"/>
        <rFont val="Arial"/>
      </rPr>
      <t xml:space="preserve"> s</t>
    </r>
    <r>
      <rPr>
        <sz val="8"/>
        <color rgb="FF000000"/>
        <rFont val="Arial"/>
      </rPr>
      <t xml:space="preserve">lurry and </t>
    </r>
    <r>
      <rPr>
        <sz val="8"/>
        <color rgb="FF000000"/>
        <rFont val="Arial"/>
      </rPr>
      <t>t</t>
    </r>
    <r>
      <rPr>
        <sz val="8"/>
        <color rgb="FF000000"/>
        <rFont val="Arial"/>
      </rPr>
      <t xml:space="preserve">ailings and </t>
    </r>
    <r>
      <rPr>
        <sz val="8"/>
        <color rgb="FF000000"/>
        <rFont val="Arial"/>
      </rPr>
      <t>c</t>
    </r>
    <r>
      <rPr>
        <sz val="8"/>
        <color rgb="FF000000"/>
        <rFont val="Arial"/>
      </rPr>
      <t xml:space="preserve">yanide in </t>
    </r>
    <r>
      <rPr>
        <sz val="8"/>
        <color rgb="FF000000"/>
        <rFont val="Arial"/>
      </rPr>
      <t>p</t>
    </r>
    <r>
      <rPr>
        <sz val="8"/>
        <color rgb="FF000000"/>
        <rFont val="Arial"/>
      </rPr>
      <t xml:space="preserve">rocess </t>
    </r>
    <r>
      <rPr>
        <sz val="8"/>
        <color rgb="FF000000"/>
        <rFont val="Arial"/>
      </rPr>
      <t>s</t>
    </r>
    <r>
      <rPr>
        <sz val="8"/>
        <color rgb="FF000000"/>
        <rFont val="Arial"/>
      </rPr>
      <t>olutions.</t>
    </r>
    <r>
      <rPr>
        <sz val="8"/>
        <color rgb="FF000000"/>
        <rFont val="Arial"/>
      </rPr>
      <t xml:space="preserve"> </t>
    </r>
    <r>
      <rPr>
        <sz val="8"/>
        <color rgb="FF000000"/>
        <rFont val="Arial"/>
      </rPr>
      <t>N</t>
    </r>
    <r>
      <rPr>
        <sz val="8"/>
        <color rgb="FF000000"/>
        <rFont val="Arial"/>
      </rPr>
      <t xml:space="preserve">o </t>
    </r>
    <r>
      <rPr>
        <sz val="8"/>
        <color rgb="FF000000"/>
        <rFont val="Arial"/>
      </rPr>
      <t>cyanide</t>
    </r>
    <r>
      <rPr>
        <sz val="8"/>
        <color rgb="FF000000"/>
        <rFont val="Arial"/>
      </rPr>
      <t xml:space="preserve"> solution</t>
    </r>
    <r>
      <rPr>
        <sz val="8"/>
        <color rgb="FF000000"/>
        <rFont val="Arial"/>
      </rPr>
      <t xml:space="preserve"> or </t>
    </r>
    <r>
      <rPr>
        <sz val="8"/>
        <color rgb="FF000000"/>
        <rFont val="Arial"/>
      </rPr>
      <t>slu</t>
    </r>
    <r>
      <rPr>
        <sz val="8"/>
        <color rgb="FF000000"/>
        <rFont val="Arial"/>
      </rPr>
      <t>rry</t>
    </r>
    <r>
      <rPr>
        <sz val="8"/>
        <color rgb="FF000000"/>
        <rFont val="Arial"/>
      </rPr>
      <t xml:space="preserve"> </t>
    </r>
    <r>
      <rPr>
        <sz val="8"/>
        <color rgb="FF000000"/>
        <rFont val="Arial"/>
      </rPr>
      <t>l</t>
    </r>
    <r>
      <rPr>
        <sz val="8"/>
        <color rgb="FF000000"/>
        <rFont val="Arial"/>
      </rPr>
      <t xml:space="preserve">eft </t>
    </r>
    <r>
      <rPr>
        <sz val="8"/>
        <color rgb="FF000000"/>
        <rFont val="Arial"/>
      </rPr>
      <t>Newmont</t>
    </r>
    <r>
      <rPr>
        <sz val="8"/>
        <color rgb="FF000000"/>
        <rFont val="Arial"/>
      </rPr>
      <t xml:space="preserve"> properties</t>
    </r>
    <r>
      <rPr>
        <sz val="8"/>
        <color rgb="FF000000"/>
        <rFont val="Arial"/>
      </rPr>
      <t xml:space="preserve">.
</t>
    </r>
    <r>
      <rPr>
        <vertAlign val="superscript"/>
        <sz val="8"/>
        <color rgb="FF000000"/>
        <rFont val="Arial"/>
      </rPr>
      <t>2</t>
    </r>
    <r>
      <rPr>
        <sz val="8"/>
        <color rgb="FF000000"/>
        <rFont val="Arial"/>
      </rPr>
      <t xml:space="preserve"> </t>
    </r>
    <r>
      <rPr>
        <sz val="8"/>
        <color rgb="FF000000"/>
        <rFont val="Arial"/>
      </rPr>
      <t>GRI Standards disclosure GRI 306-3: Significant spills. Data is normalized using global unit of measure conversion formulas and estimated concentration calculations based on data reported in internal reporting systems.</t>
    </r>
    <r>
      <rPr>
        <sz val="8"/>
        <color rgb="FF000000"/>
        <rFont val="Arial"/>
      </rPr>
      <t xml:space="preserve"> </t>
    </r>
  </si>
  <si>
    <t>Significant chemical releases</t>
  </si>
  <si>
    <t>Other significant releases</t>
  </si>
  <si>
    <r>
      <rPr>
        <vertAlign val="superscript"/>
        <sz val="8"/>
        <color rgb="FF000000"/>
        <rFont val="Arial"/>
      </rPr>
      <t>1</t>
    </r>
    <r>
      <rPr>
        <sz val="8"/>
        <color rgb="FF000000"/>
        <rFont val="Arial"/>
      </rPr>
      <t xml:space="preserve"> </t>
    </r>
    <r>
      <rPr>
        <sz val="8"/>
        <color rgb="FF000000"/>
        <rFont val="Arial"/>
      </rPr>
      <t>There were 5 immaterial spills</t>
    </r>
    <r>
      <rPr>
        <sz val="8"/>
        <color rgb="FF000000"/>
        <rFont val="Arial"/>
      </rPr>
      <t>, which</t>
    </r>
    <r>
      <rPr>
        <sz val="8"/>
        <color rgb="FF000000"/>
        <rFont val="Arial"/>
      </rPr>
      <t xml:space="preserve"> were removed from the data</t>
    </r>
    <r>
      <rPr>
        <sz val="8"/>
        <color rgb="FF000000"/>
        <rFont val="Arial"/>
      </rPr>
      <t xml:space="preserve"> </t>
    </r>
    <r>
      <rPr>
        <sz val="8"/>
        <color rgb="FF000000"/>
        <rFont val="Arial"/>
      </rPr>
      <t xml:space="preserve">set.
</t>
    </r>
    <r>
      <rPr>
        <vertAlign val="superscript"/>
        <sz val="8"/>
        <color rgb="FF000000"/>
        <rFont val="Arial"/>
      </rPr>
      <t>2</t>
    </r>
    <r>
      <rPr>
        <sz val="8"/>
        <color rgb="FF000000"/>
        <rFont val="Arial"/>
      </rPr>
      <t xml:space="preserve"> </t>
    </r>
    <r>
      <rPr>
        <sz val="8"/>
        <color rgb="FF000000"/>
        <rFont val="Arial"/>
      </rPr>
      <t>GRI Standards disclosure GRI 306-3: Significant spills.</t>
    </r>
  </si>
  <si>
    <t xml:space="preserve">ENVIRONMENT: TAILINGS MANAGEMENT </t>
  </si>
  <si>
    <t xml:space="preserve">Management method
</t>
  </si>
  <si>
    <t xml:space="preserve">Total produced and managed </t>
  </si>
  <si>
    <r>
      <rPr>
        <b/>
        <sz val="10"/>
        <color rgb="FF000000"/>
        <rFont val="Arial"/>
      </rPr>
      <t>Total waste rock/tailings generated (million tonnes): Trailing five year data</t>
    </r>
    <r>
      <rPr>
        <b/>
        <vertAlign val="superscript"/>
        <sz val="10"/>
        <color rgb="FF000000"/>
        <rFont val="Arial"/>
      </rPr>
      <t>1</t>
    </r>
  </si>
  <si>
    <r>
      <rPr>
        <b/>
        <sz val="10"/>
        <color rgb="FF000000"/>
        <rFont val="Arial"/>
      </rPr>
      <t>Tailings inventory and disclosures</t>
    </r>
    <r>
      <rPr>
        <b/>
        <vertAlign val="superscript"/>
        <sz val="10"/>
        <color rgb="FF000000"/>
        <rFont val="Arial"/>
      </rPr>
      <t>1, 2</t>
    </r>
  </si>
  <si>
    <t>Surface tailings</t>
  </si>
  <si>
    <t>Open pit tailings</t>
  </si>
  <si>
    <t>Sub-surface tailings</t>
  </si>
  <si>
    <t>Total waste rock generated</t>
  </si>
  <si>
    <t>Church of England disclosures: Newmont developed a disclosure in response to the Church of England April 10, 2019 request for information concerning tailings management. This disclosure provides Newmont’s approach to tailings; communications and risk management; a description of updates to our approach following recent disasters; and an inventory of tailings facilities for our operating sites, joint ventures, subsidiaries, and legacy sites as of July 1, 2019. Full disclosure available at: https://s24.q4cdn.com/382246808/files/doc_downloads/2021/02/CoEDiscloureDecember-Update_Newmont-Goldcorp.pdf</t>
  </si>
  <si>
    <t xml:space="preserve">Total tailings produced and managed </t>
  </si>
  <si>
    <r>
      <rPr>
        <vertAlign val="superscript"/>
        <sz val="8"/>
        <color rgb="FF000000"/>
        <rFont val="Arial"/>
      </rPr>
      <t>1</t>
    </r>
    <r>
      <rPr>
        <sz val="8"/>
        <color rgb="FF000000"/>
        <rFont val="Arial"/>
      </rPr>
      <t xml:space="preserve"> GRI Metals and Mining Sector Supplement disclosure MM3: Total Amounts of overburden, rock, tailings, and sludges and their associated risks; SASB Metals and Mining Sustainability Accounting Standard: SASB EM-MM-150a.1: Total weight of tailings waste, percentage recycled.</t>
    </r>
  </si>
  <si>
    <t>GISTM (Global Industry Standard on Tailings Management): Newmont provided a response to a request on December 17, 2020, from the Church of England Pensions Board, Principles for Responsible Investment, and Swedish Council on Ethics for AP Public Pension Funds regarding Newmont’s commitment to implementing the GISTM.
https://s24.q4cdn.com/382246808/files/doc_downloads/2021/02/COE_PRI-GISTM-Implementation-Response-Letter.pdf</t>
  </si>
  <si>
    <t>Global Tailings Inventory: Newmont provides a full disclosure of tailings facilities, classifications, location, status, construction type and detailed, datasets, which are periodically updated and available for download.
https://www.newmont.com/files/doc_downloads/2021/03/Newmont_Church-of-England-Inventory_22Mar2021_for-Website.xlsx</t>
  </si>
  <si>
    <r>
      <rPr>
        <vertAlign val="superscript"/>
        <sz val="8"/>
        <color rgb="FF000000"/>
        <rFont val="Arial"/>
      </rPr>
      <t>1</t>
    </r>
    <r>
      <rPr>
        <sz val="8"/>
        <color rgb="FF000000"/>
        <rFont val="Arial"/>
      </rPr>
      <t xml:space="preserve"> </t>
    </r>
    <r>
      <rPr>
        <sz val="8"/>
        <color rgb="FF000000"/>
        <rFont val="Arial"/>
      </rPr>
      <t xml:space="preserve">Church of England Pensions Board and Swedish Council on Ethics for the AP Public Pension Fund – Tailings Management  Approach and Inventory Disclosure.
</t>
    </r>
    <r>
      <rPr>
        <vertAlign val="superscript"/>
        <sz val="8"/>
        <color rgb="FF000000"/>
        <rFont val="Arial"/>
      </rPr>
      <t xml:space="preserve">2 </t>
    </r>
    <r>
      <rPr>
        <sz val="8"/>
        <color rgb="FF000000"/>
        <rFont val="Arial"/>
      </rPr>
      <t xml:space="preserve">GRI Metals and Mining Sector Supplement disclosure MM3: Total Amounts of overburden, rock, tailings, and sludges and their associated risks; SASB Metals and Mining Sustainability Accounting Standard: SASB EM-MM-150a.3: Number of tailings impoundments, broken down by Hazard Potential. </t>
    </r>
  </si>
  <si>
    <t>All sites</t>
  </si>
  <si>
    <t>ENVIRONMENT: WATER STEWARDSHIP</t>
  </si>
  <si>
    <t>Total water withdrawn</t>
  </si>
  <si>
    <t>Total water consumed (withdrawn minus total discharged)</t>
  </si>
  <si>
    <t>Total water recycled</t>
  </si>
  <si>
    <t>Total water used (consumed + recycled)</t>
  </si>
  <si>
    <t>Percent recycled (total water recycled/total water used)</t>
  </si>
  <si>
    <t>Total water discharged</t>
  </si>
  <si>
    <t>Treated discharge by other</t>
  </si>
  <si>
    <t>Treated discharge by process water treatment</t>
  </si>
  <si>
    <t>Treated discharge by sewage treatment</t>
  </si>
  <si>
    <t>Total treated water discharge</t>
  </si>
  <si>
    <t>Untreated discharge to external organizations for reuse</t>
  </si>
  <si>
    <t>Untreated discharge to groundwater</t>
  </si>
  <si>
    <t>Untreated discharge to sewers</t>
  </si>
  <si>
    <t>Untreated discharge to surface water</t>
  </si>
  <si>
    <t>Untreated discharge to ocean</t>
  </si>
  <si>
    <t>Total untreated water discharge</t>
  </si>
  <si>
    <t>Surface water</t>
  </si>
  <si>
    <r>
      <rPr>
        <b/>
        <sz val="10"/>
        <color rgb="FF000000"/>
        <rFont val="Arial"/>
      </rPr>
      <t>Precipitation</t>
    </r>
    <r>
      <rPr>
        <b/>
        <vertAlign val="superscript"/>
        <sz val="10"/>
        <color rgb="FF000000"/>
        <rFont val="Arial"/>
      </rPr>
      <t>2</t>
    </r>
  </si>
  <si>
    <t>Municipal water</t>
  </si>
  <si>
    <t>As % of Total</t>
  </si>
  <si>
    <t>Megaliters (ML)</t>
  </si>
  <si>
    <r>
      <rPr>
        <b/>
        <sz val="10"/>
        <color rgb="FF000000"/>
        <rFont val="Arial"/>
      </rPr>
      <t>Water consumed, recycled and percentage recycled (thousand kL): Trailing five year data</t>
    </r>
    <r>
      <rPr>
        <b/>
        <vertAlign val="superscript"/>
        <sz val="10"/>
        <color rgb="FF000000"/>
        <rFont val="Arial"/>
      </rPr>
      <t xml:space="preserve">1, </t>
    </r>
    <r>
      <rPr>
        <b/>
        <vertAlign val="superscript"/>
        <sz val="10"/>
        <color rgb="FF000000"/>
        <rFont val="Arial"/>
      </rPr>
      <t>4</t>
    </r>
  </si>
  <si>
    <r>
      <rPr>
        <b/>
        <sz val="10"/>
        <color rgb="FF000000"/>
        <rFont val="Arial"/>
      </rPr>
      <t>Water intensity: Trailing five year data</t>
    </r>
    <r>
      <rPr>
        <b/>
        <vertAlign val="superscript"/>
        <sz val="10"/>
        <color rgb="FF000000"/>
        <rFont val="Arial"/>
      </rPr>
      <t>1, 2</t>
    </r>
    <r>
      <rPr>
        <b/>
        <vertAlign val="superscript"/>
        <sz val="10"/>
        <color rgb="FF000000"/>
        <rFont val="Arial"/>
      </rPr>
      <t>,</t>
    </r>
    <r>
      <rPr>
        <b/>
        <vertAlign val="superscript"/>
        <sz val="10"/>
        <color rgb="FF000000"/>
        <rFont val="Arial"/>
      </rPr>
      <t xml:space="preserve"> 4</t>
    </r>
  </si>
  <si>
    <r>
      <rPr>
        <b/>
        <sz val="10"/>
        <color rgb="FF000000"/>
        <rFont val="Arial"/>
      </rPr>
      <t>2020</t>
    </r>
    <r>
      <rPr>
        <b/>
        <sz val="10"/>
        <color rgb="FF000000"/>
        <rFont val="Arial"/>
      </rPr>
      <t xml:space="preserve"> </t>
    </r>
    <r>
      <rPr>
        <b/>
        <vertAlign val="superscript"/>
        <sz val="10"/>
        <color rgb="FF000000"/>
        <rFont val="Arial"/>
      </rPr>
      <t>3</t>
    </r>
  </si>
  <si>
    <t>Water-related risk by site</t>
  </si>
  <si>
    <t>Climate conditions</t>
  </si>
  <si>
    <r>
      <rPr>
        <b/>
        <sz val="10"/>
        <color rgb="FF000000"/>
        <rFont val="Arial"/>
      </rPr>
      <t>Water sources</t>
    </r>
    <r>
      <rPr>
        <b/>
        <vertAlign val="superscript"/>
        <sz val="10"/>
        <color rgb="FF000000"/>
        <rFont val="Arial"/>
      </rPr>
      <t>1</t>
    </r>
  </si>
  <si>
    <r>
      <rPr>
        <b/>
        <sz val="10"/>
        <color rgb="FF000000"/>
        <rFont val="Arial"/>
      </rPr>
      <t>Risk: Water stress</t>
    </r>
    <r>
      <rPr>
        <b/>
        <vertAlign val="superscript"/>
        <sz val="10"/>
        <color rgb="FF000000"/>
        <rFont val="Arial"/>
      </rPr>
      <t>2</t>
    </r>
  </si>
  <si>
    <t>Risk: Water quality</t>
  </si>
  <si>
    <t>Risk: Excess water</t>
  </si>
  <si>
    <r>
      <rPr>
        <b/>
        <sz val="10"/>
        <color rgb="FF000000"/>
        <rFont val="Arial"/>
      </rPr>
      <t>Risk: Watershed challenges</t>
    </r>
    <r>
      <rPr>
        <b/>
        <vertAlign val="superscript"/>
        <sz val="10"/>
        <color rgb="FF000000"/>
        <rFont val="Arial"/>
      </rPr>
      <t>3</t>
    </r>
  </si>
  <si>
    <r>
      <rPr>
        <b/>
        <sz val="10"/>
        <color rgb="FF000000"/>
        <rFont val="Arial"/>
      </rPr>
      <t>Consumption by ICMM Water Quality Categories (High/Low)</t>
    </r>
    <r>
      <rPr>
        <b/>
        <vertAlign val="superscript"/>
        <sz val="10"/>
        <color rgb="FF000000"/>
        <rFont val="Arial"/>
      </rPr>
      <t>1,2</t>
    </r>
  </si>
  <si>
    <t>Category 1</t>
  </si>
  <si>
    <t>Category 2</t>
  </si>
  <si>
    <t>Category 3</t>
  </si>
  <si>
    <t>Total Water Withdrawn</t>
  </si>
  <si>
    <r>
      <rPr>
        <sz val="10"/>
        <color rgb="FF000000"/>
        <rFont val="Arial"/>
      </rPr>
      <t>Water consumed</t>
    </r>
    <r>
      <rPr>
        <vertAlign val="superscript"/>
        <sz val="10"/>
        <color rgb="FF000000"/>
        <rFont val="Arial"/>
      </rPr>
      <t>2</t>
    </r>
  </si>
  <si>
    <t>kL / gold equivalent ounces (GEO)</t>
  </si>
  <si>
    <t>Humid</t>
  </si>
  <si>
    <t>SW, GW</t>
  </si>
  <si>
    <t>X</t>
  </si>
  <si>
    <r>
      <rPr>
        <sz val="10"/>
        <color rgb="FF000000"/>
        <rFont val="Arial"/>
      </rPr>
      <t>Untreated discharge to groundwater</t>
    </r>
    <r>
      <rPr>
        <vertAlign val="superscript"/>
        <sz val="10"/>
        <color rgb="FF000000"/>
        <rFont val="Arial"/>
      </rPr>
      <t>1</t>
    </r>
  </si>
  <si>
    <t>Surface water withdrawn</t>
  </si>
  <si>
    <r>
      <rPr>
        <sz val="10"/>
        <color rgb="FF000000"/>
        <rFont val="Arial"/>
      </rPr>
      <t>Water recycled/reused</t>
    </r>
    <r>
      <rPr>
        <vertAlign val="superscript"/>
        <sz val="10"/>
        <color rgb="FF000000"/>
        <rFont val="Arial"/>
      </rPr>
      <t>3</t>
    </r>
  </si>
  <si>
    <t>kL / tonne ore processed</t>
  </si>
  <si>
    <t>GW</t>
  </si>
  <si>
    <t>Category</t>
  </si>
  <si>
    <t>Consumption</t>
  </si>
  <si>
    <t>Groundwater</t>
  </si>
  <si>
    <t>Groundwater withdrawn</t>
  </si>
  <si>
    <r>
      <rPr>
        <sz val="10"/>
        <color rgb="FF000000"/>
        <rFont val="Arial"/>
      </rPr>
      <t>Percent recycled/reused</t>
    </r>
    <r>
      <rPr>
        <vertAlign val="superscript"/>
        <sz val="10"/>
        <color rgb="FF000000"/>
        <rFont val="Arial"/>
      </rPr>
      <t>3</t>
    </r>
  </si>
  <si>
    <t xml:space="preserve">kL / billion revenues </t>
  </si>
  <si>
    <r>
      <rPr>
        <sz val="10"/>
        <color rgb="FF000000"/>
        <rFont val="Arial"/>
      </rPr>
      <t>Boddington</t>
    </r>
    <r>
      <rPr>
        <vertAlign val="superscript"/>
        <sz val="10"/>
        <color rgb="FF000000"/>
        <rFont val="Arial"/>
      </rPr>
      <t>2</t>
    </r>
  </si>
  <si>
    <t>Semi-arid</t>
  </si>
  <si>
    <t xml:space="preserve">High </t>
  </si>
  <si>
    <t>Precipitation</t>
  </si>
  <si>
    <r>
      <rPr>
        <vertAlign val="superscript"/>
        <sz val="8"/>
        <color rgb="FF000000"/>
        <rFont val="Arial"/>
      </rPr>
      <t>1</t>
    </r>
    <r>
      <rPr>
        <sz val="8"/>
        <color rgb="FF000000"/>
        <rFont val="Arial"/>
      </rPr>
      <t xml:space="preserve"> Water quality categories are based on the Minerals Council of Australia definitions.
</t>
    </r>
    <r>
      <rPr>
        <vertAlign val="superscript"/>
        <sz val="8"/>
        <color rgb="FF000000"/>
        <rFont val="Arial"/>
      </rPr>
      <t>2</t>
    </r>
    <r>
      <rPr>
        <sz val="8"/>
        <color rgb="FF000000"/>
        <rFont val="Arial"/>
      </rPr>
      <t xml:space="preserve"> </t>
    </r>
    <r>
      <rPr>
        <sz val="8"/>
        <color rgb="FF000000"/>
        <rFont val="Arial"/>
      </rPr>
      <t xml:space="preserve">Consumption for Water Quality Category 2 is negative as more Category 2 water is withdrawn then returned to the system, as a higher quality water, Category 1.
</t>
    </r>
    <r>
      <rPr>
        <vertAlign val="superscript"/>
        <sz val="8"/>
        <color rgb="FF000000"/>
        <rFont val="Arial"/>
      </rPr>
      <t>3</t>
    </r>
    <r>
      <rPr>
        <sz val="8"/>
        <color rgb="FF000000"/>
        <rFont val="Arial"/>
      </rPr>
      <t xml:space="preserve"> </t>
    </r>
    <r>
      <rPr>
        <sz val="8"/>
        <color rgb="FF000000"/>
        <rFont val="Arial"/>
      </rPr>
      <t>GRI Standards disclosure GRI 303-5: Water consumption</t>
    </r>
    <r>
      <rPr>
        <sz val="8"/>
        <color rgb="FF000000"/>
        <rFont val="Arial"/>
      </rPr>
      <t>.</t>
    </r>
  </si>
  <si>
    <t>Precipitation water withdrawn</t>
  </si>
  <si>
    <r>
      <rPr>
        <vertAlign val="superscript"/>
        <sz val="8"/>
        <color rgb="FF000000"/>
        <rFont val="Arial"/>
      </rPr>
      <t>1</t>
    </r>
    <r>
      <rPr>
        <sz val="8"/>
        <color rgb="FF000000"/>
        <rFont val="Arial"/>
      </rPr>
      <t xml:space="preserve"> </t>
    </r>
    <r>
      <rPr>
        <sz val="8"/>
        <color rgb="FF000000"/>
        <rFont val="Arial"/>
      </rPr>
      <t xml:space="preserve">The 2019 data includes former Goldcorp sites (Cerro Negro, Éléonore, Musselwhite, Peñasquito, Porcupine and Red Lake) and </t>
    </r>
    <r>
      <rPr>
        <sz val="8"/>
        <color rgb="FF000000"/>
        <rFont val="Arial"/>
      </rPr>
      <t>omits Nevada operations. 201</t>
    </r>
    <r>
      <rPr>
        <sz val="8"/>
        <color rgb="FF000000"/>
        <rFont val="Arial"/>
      </rPr>
      <t>6</t>
    </r>
    <r>
      <rPr>
        <sz val="8"/>
        <color rgb="FF000000"/>
        <rFont val="Arial"/>
      </rPr>
      <t xml:space="preserve">-2018 data has not been adjusted to reflect the 2019 asset portfolio; when adjusting 2018 data to reflect the performance of our current operating portfolio (i.e., including former Goldcorp sites and excluding Nevada Gold Mines sites), water consumed was reduced by 12,979 ML, water recycled increased by 13,970 ML, and the percent recycled increased from 68 percent to 71 percent.
</t>
    </r>
    <r>
      <rPr>
        <vertAlign val="superscript"/>
        <sz val="8"/>
        <color rgb="FF000000"/>
        <rFont val="Arial"/>
      </rPr>
      <t>2</t>
    </r>
    <r>
      <rPr>
        <sz val="8"/>
        <color rgb="FF000000"/>
        <rFont val="Arial"/>
      </rPr>
      <t xml:space="preserve"> </t>
    </r>
    <r>
      <rPr>
        <sz val="8"/>
        <color rgb="FF000000"/>
        <rFont val="Arial"/>
      </rPr>
      <t>Water consumption is defined by GRI as water withdrawn minus water discharged. The ICMM definition for water consumption is water evaporated plus water entrained plus other water losses. For 2019, the total consumption based on this definition is</t>
    </r>
    <r>
      <rPr>
        <sz val="8"/>
        <color rgb="FF000000"/>
        <rFont val="Arial"/>
      </rPr>
      <t xml:space="preserve"> 165,435 </t>
    </r>
    <r>
      <rPr>
        <sz val="8"/>
        <color rgb="FF000000"/>
        <rFont val="Arial"/>
      </rPr>
      <t xml:space="preserve"> ML.
</t>
    </r>
    <r>
      <rPr>
        <vertAlign val="superscript"/>
        <sz val="8"/>
        <color rgb="FF000000"/>
        <rFont val="Arial"/>
      </rPr>
      <t>3</t>
    </r>
    <r>
      <rPr>
        <vertAlign val="superscript"/>
        <sz val="8"/>
        <color rgb="FF000000"/>
        <rFont val="Arial"/>
      </rPr>
      <t xml:space="preserve"> </t>
    </r>
    <r>
      <rPr>
        <sz val="8"/>
        <color rgb="FF000000"/>
        <rFont val="Arial"/>
      </rPr>
      <t xml:space="preserve">Water recycled/reused is defined as water that is reused or recycled within the site for operational use.
</t>
    </r>
    <r>
      <rPr>
        <vertAlign val="superscript"/>
        <sz val="8"/>
        <color rgb="FF000000"/>
        <rFont val="Arial"/>
      </rPr>
      <t>4</t>
    </r>
    <r>
      <rPr>
        <vertAlign val="superscript"/>
        <sz val="8"/>
        <color rgb="FF000000"/>
        <rFont val="Arial"/>
      </rPr>
      <t xml:space="preserve"> </t>
    </r>
    <r>
      <rPr>
        <sz val="8"/>
        <color rgb="FF000000"/>
        <rFont val="Arial"/>
      </rPr>
      <t xml:space="preserve">GRI Standards disclosure GRI 303-5: Water consumption.
</t>
    </r>
    <r>
      <rPr>
        <sz val="8"/>
        <color rgb="FF000000"/>
        <rFont val="Arial"/>
      </rPr>
      <t/>
    </r>
  </si>
  <si>
    <t>Arid</t>
  </si>
  <si>
    <t>Low</t>
  </si>
  <si>
    <r>
      <rPr>
        <sz val="10"/>
        <color rgb="FF000000"/>
        <rFont val="Arial"/>
      </rPr>
      <t>Third-party (municipal) water withdrawn</t>
    </r>
    <r>
      <rPr>
        <vertAlign val="superscript"/>
        <sz val="10"/>
        <color rgb="FF000000"/>
        <rFont val="Arial"/>
      </rPr>
      <t>1</t>
    </r>
  </si>
  <si>
    <t>Moderate precipitation</t>
  </si>
  <si>
    <t>MW</t>
  </si>
  <si>
    <t>Ocean water used for processing</t>
  </si>
  <si>
    <t>Low to moderate precipitation</t>
  </si>
  <si>
    <t>Ocean water used for cooling</t>
  </si>
  <si>
    <r>
      <rPr>
        <b/>
        <sz val="10"/>
        <color rgb="FF000000"/>
        <rFont val="Arial"/>
      </rPr>
      <t xml:space="preserve">Total water consumed
</t>
    </r>
    <r>
      <rPr>
        <sz val="10"/>
        <color rgb="FF000000"/>
        <rFont val="Arial"/>
      </rPr>
      <t>(withdrawn minus discharged)</t>
    </r>
    <r>
      <rPr>
        <vertAlign val="superscript"/>
        <sz val="10"/>
        <color rgb="FF000000"/>
        <rFont val="Arial"/>
      </rPr>
      <t>2</t>
    </r>
  </si>
  <si>
    <r>
      <rPr>
        <sz val="10"/>
        <color rgb="FF000000"/>
        <rFont val="Arial"/>
      </rPr>
      <t>Porcupine</t>
    </r>
    <r>
      <rPr>
        <vertAlign val="superscript"/>
        <sz val="10"/>
        <color rgb="FF000000"/>
        <rFont val="Arial"/>
      </rPr>
      <t>2</t>
    </r>
  </si>
  <si>
    <r>
      <rPr>
        <sz val="10"/>
        <color rgb="FF000000"/>
        <rFont val="Arial"/>
      </rPr>
      <t>Porcupine</t>
    </r>
    <r>
      <rPr>
        <vertAlign val="superscript"/>
        <sz val="10"/>
        <color rgb="FF000000"/>
        <rFont val="Arial"/>
      </rPr>
      <t>1</t>
    </r>
  </si>
  <si>
    <r>
      <rPr>
        <sz val="10"/>
        <color rgb="FF000000"/>
        <rFont val="Arial"/>
      </rPr>
      <t>Treated discharge by reverse osmosis</t>
    </r>
    <r>
      <rPr>
        <sz val="10"/>
        <color rgb="FF000000"/>
        <rFont val="Arial"/>
      </rPr>
      <t xml:space="preserve"> or acid wa</t>
    </r>
    <r>
      <rPr>
        <sz val="10"/>
        <color rgb="FF000000"/>
        <rFont val="Arial"/>
      </rPr>
      <t>ter treatment</t>
    </r>
    <r>
      <rPr>
        <vertAlign val="superscript"/>
        <sz val="10"/>
        <color rgb="FF000000"/>
        <rFont val="Arial"/>
      </rPr>
      <t>2</t>
    </r>
  </si>
  <si>
    <t>Surface water discharged</t>
  </si>
  <si>
    <r>
      <rPr>
        <sz val="10"/>
        <color rgb="FF000000"/>
        <rFont val="Arial"/>
      </rPr>
      <t>Porcupine</t>
    </r>
    <r>
      <rPr>
        <vertAlign val="superscript"/>
        <sz val="10"/>
        <color rgb="FF000000"/>
        <rFont val="Arial"/>
      </rPr>
      <t>4</t>
    </r>
  </si>
  <si>
    <t>GW, MW</t>
  </si>
  <si>
    <r>
      <rPr>
        <b/>
        <sz val="10"/>
        <color rgb="FF000000"/>
        <rFont val="Arial"/>
      </rPr>
      <t xml:space="preserve">Total water used
</t>
    </r>
    <r>
      <rPr>
        <sz val="10"/>
        <color rgb="FF000000"/>
        <rFont val="Arial"/>
      </rPr>
      <t>(consumed plus recycled)</t>
    </r>
  </si>
  <si>
    <t>Groundwater discharged</t>
  </si>
  <si>
    <r>
      <rPr>
        <b/>
        <sz val="10"/>
        <color rgb="FF000000"/>
        <rFont val="Arial"/>
      </rPr>
      <t xml:space="preserve">Percent recycled
</t>
    </r>
    <r>
      <rPr>
        <sz val="10"/>
        <color rgb="FF000000"/>
        <rFont val="Arial"/>
      </rPr>
      <t>(water recycled divided by water used)</t>
    </r>
  </si>
  <si>
    <t>Total treated discharge of water</t>
  </si>
  <si>
    <r>
      <rPr>
        <vertAlign val="superscript"/>
        <sz val="8"/>
        <color rgb="FF000000"/>
        <rFont val="Arial"/>
      </rPr>
      <t>1</t>
    </r>
    <r>
      <rPr>
        <sz val="8"/>
        <color rgb="FF000000"/>
        <rFont val="Arial"/>
      </rPr>
      <t xml:space="preserve"> </t>
    </r>
    <r>
      <rPr>
        <sz val="8"/>
        <color rgb="FF000000"/>
        <rFont val="Arial"/>
      </rPr>
      <t xml:space="preserve">This number went up between 2019 and 2020 because seepage is now included. Seepage that impacts water quality is managed in our site water management plans.
</t>
    </r>
    <r>
      <rPr>
        <vertAlign val="superscript"/>
        <sz val="8"/>
        <color rgb="FF000000"/>
        <rFont val="Arial"/>
      </rPr>
      <t xml:space="preserve">2 </t>
    </r>
    <r>
      <rPr>
        <sz val="8"/>
        <color rgb="FF000000"/>
        <rFont val="Arial"/>
      </rPr>
      <t>We increased the amount of reverse osmosis occurring at a few of our sites. We have combined our acid water treatment and r</t>
    </r>
    <r>
      <rPr>
        <sz val="8"/>
        <color rgb="FF000000"/>
        <rFont val="Arial"/>
      </rPr>
      <t>everse</t>
    </r>
    <r>
      <rPr>
        <sz val="8"/>
        <color rgb="FF000000"/>
        <rFont val="Arial"/>
      </rPr>
      <t xml:space="preserve"> osmosis. Our RO has increased and we have combined acid water treatment and RO into one category.
</t>
    </r>
    <r>
      <rPr>
        <vertAlign val="superscript"/>
        <sz val="8"/>
        <color rgb="FF000000"/>
        <rFont val="Arial"/>
      </rPr>
      <t xml:space="preserve">3 </t>
    </r>
    <r>
      <rPr>
        <sz val="8"/>
        <color rgb="FF000000"/>
        <rFont val="Arial"/>
      </rPr>
      <t>GRI Standards disclosures GRI 303-2: Water discharge; GRI 306-1: Water discharge by quality and destination.</t>
    </r>
  </si>
  <si>
    <r>
      <rPr>
        <sz val="10"/>
        <color rgb="FF000000"/>
        <rFont val="Arial"/>
      </rPr>
      <t>Yanacocha</t>
    </r>
    <r>
      <rPr>
        <vertAlign val="superscript"/>
        <sz val="10"/>
        <color rgb="FF000000"/>
        <rFont val="Arial"/>
      </rPr>
      <t>5</t>
    </r>
  </si>
  <si>
    <t>Moderate precipitation with a distinct dry season</t>
  </si>
  <si>
    <t>ENVIRONMENT: WASTE</t>
  </si>
  <si>
    <t>Reused</t>
  </si>
  <si>
    <t>Recycled</t>
  </si>
  <si>
    <t>Recovered</t>
  </si>
  <si>
    <t>Incinerated (with energy recovery)</t>
  </si>
  <si>
    <t>Incinerated (without energy recovery)</t>
  </si>
  <si>
    <t>Deep well injected</t>
  </si>
  <si>
    <t>Landfilled</t>
  </si>
  <si>
    <t>Other</t>
  </si>
  <si>
    <t>Acid generating/metal leaching</t>
  </si>
  <si>
    <t>Non-acid generating/non-metal leaching</t>
  </si>
  <si>
    <t>Total waste rock brought to surface</t>
  </si>
  <si>
    <t>Sludges or other process residues</t>
  </si>
  <si>
    <t>Hydrocarbon-contaminated waste rock</t>
  </si>
  <si>
    <t>Elemental mercury</t>
  </si>
  <si>
    <t>Mercuric chloride</t>
  </si>
  <si>
    <t>Mercury-tainted carbon</t>
  </si>
  <si>
    <t>Mercury-contaminated sludge</t>
  </si>
  <si>
    <t>Other mercury-related waste</t>
  </si>
  <si>
    <t>Onsite Recovery</t>
  </si>
  <si>
    <t>Offsite Recovery</t>
  </si>
  <si>
    <t>Onsite Disposal</t>
  </si>
  <si>
    <t>Offsite Disposal</t>
  </si>
  <si>
    <r>
      <rPr>
        <b/>
        <sz val="10"/>
        <color rgb="FF000000"/>
        <rFont val="Arial"/>
      </rPr>
      <t>Estimated waste generated by type: Trailing five year data</t>
    </r>
    <r>
      <rPr>
        <b/>
        <vertAlign val="superscript"/>
        <sz val="10"/>
        <color rgb="FF000000"/>
        <rFont val="Arial"/>
      </rPr>
      <t>1, 2</t>
    </r>
  </si>
  <si>
    <t>Total waste rock generated (million tonnes)</t>
  </si>
  <si>
    <t>Total waste rock brought to surface (million tonnes)</t>
  </si>
  <si>
    <t>Total tailings generated (million tonnes)</t>
  </si>
  <si>
    <t>Total hazardous waste generated (thousand tonnes)</t>
  </si>
  <si>
    <t>Total non-hazardous waste generated (thousand tonnes)</t>
  </si>
  <si>
    <t>Elemental mercury (Hg)</t>
  </si>
  <si>
    <r>
      <rPr>
        <sz val="10"/>
        <color rgb="FF000000"/>
        <rFont val="Arial"/>
      </rPr>
      <t>Tanami</t>
    </r>
    <r>
      <rPr>
        <vertAlign val="superscript"/>
        <sz val="10"/>
        <color rgb="FF000000"/>
        <rFont val="Arial"/>
      </rPr>
      <t>2</t>
    </r>
  </si>
  <si>
    <r>
      <rPr>
        <vertAlign val="superscript"/>
        <sz val="8"/>
        <color rgb="FF000000"/>
        <rFont val="Arial"/>
      </rPr>
      <t>1</t>
    </r>
    <r>
      <rPr>
        <sz val="8"/>
        <color rgb="FF000000"/>
        <rFont val="Arial"/>
      </rPr>
      <t xml:space="preserve"> </t>
    </r>
    <r>
      <rPr>
        <sz val="8"/>
        <color rgb="FF000000"/>
        <rFont val="Arial"/>
      </rPr>
      <t xml:space="preserve">Every site is required to do acid-based accounting to check the acid generating potential and neutralizing potential of the rock. Tanami is an underground operation so not all of the waste rock which acid generating potential is known is brought to the surface. 
</t>
    </r>
    <r>
      <rPr>
        <vertAlign val="superscript"/>
        <sz val="8"/>
        <color rgb="FF000000"/>
        <rFont val="Arial"/>
      </rPr>
      <t>2</t>
    </r>
    <r>
      <rPr>
        <vertAlign val="superscript"/>
        <sz val="8"/>
        <color rgb="FF000000"/>
        <rFont val="Arial"/>
      </rPr>
      <t xml:space="preserve"> </t>
    </r>
    <r>
      <rPr>
        <sz val="8"/>
        <color rgb="FF000000"/>
        <rFont val="Arial"/>
      </rPr>
      <t>GRI Standards disclosure GRI 306-2: Waste by type and disposal method; SASB Metals &amp; Mining Sustainability Accounting Standard disclosure EM-MM-150a.2: Total weight of mineral processing waste.</t>
    </r>
  </si>
  <si>
    <r>
      <rPr>
        <vertAlign val="superscript"/>
        <sz val="8"/>
        <color rgb="FF000000"/>
        <rFont val="Arial"/>
      </rPr>
      <t>1</t>
    </r>
    <r>
      <rPr>
        <sz val="8"/>
        <color rgb="FF000000"/>
        <rFont val="Arial"/>
      </rPr>
      <t xml:space="preserve"> </t>
    </r>
    <r>
      <rPr>
        <sz val="8"/>
        <color rgb="FF000000"/>
        <rFont val="Arial"/>
      </rPr>
      <t>Newmont does not use mercury to process ore; however some naturally occur</t>
    </r>
    <r>
      <rPr>
        <sz val="8"/>
        <color rgb="FF000000"/>
        <rFont val="Arial"/>
      </rPr>
      <t>r</t>
    </r>
    <r>
      <rPr>
        <sz val="8"/>
        <color rgb="FF000000"/>
        <rFont val="Arial"/>
      </rPr>
      <t xml:space="preserve">ing mercury exists in some ore bodies and is disposed according to laws and regulations; this data is considered mineral processing waste for reporting purposes. Former Goldcorp sites omit data for mercuric chloride, mercury-tainted carbon, mercury-contaminated sludge, and other mercury-related wastes, shown as N/R (not reported); these data will be reported in future years as reporting systems and standards are fully integrated.
</t>
    </r>
    <r>
      <rPr>
        <vertAlign val="superscript"/>
        <sz val="8"/>
        <color rgb="FF000000"/>
        <rFont val="Arial"/>
      </rPr>
      <t xml:space="preserve">2 </t>
    </r>
    <r>
      <rPr>
        <sz val="8"/>
        <color rgb="FF000000"/>
        <rFont val="Arial"/>
      </rPr>
      <t>GRI Standards disclosure GRI 306-2: Waste by type and disposal method; SASB Metals &amp; Mining Sustainability Accounting Standard disclosure EM-MM-150a.2: Total weight of mineral processing waste. Newmont does not use mercury to process ore; however some naturally occu</t>
    </r>
    <r>
      <rPr>
        <sz val="8"/>
        <color rgb="FF000000"/>
        <rFont val="Arial"/>
      </rPr>
      <t>r</t>
    </r>
    <r>
      <rPr>
        <sz val="8"/>
        <color rgb="FF000000"/>
        <rFont val="Arial"/>
      </rPr>
      <t>ring mercury exists in some ore bodies and is reported as mineral processing waste for purposes of aligni</t>
    </r>
    <r>
      <rPr>
        <sz val="8"/>
        <color rgb="FF000000"/>
        <rFont val="Arial"/>
      </rPr>
      <t xml:space="preserve">ng to SASB reporting standards for EM-MM-150a.2. Data table corrected 10 June 2020; original unit of measure was erroneously stated as million </t>
    </r>
    <r>
      <rPr>
        <sz val="8"/>
        <color rgb="FF000000"/>
        <rFont val="Arial"/>
      </rPr>
      <t>metric tons</t>
    </r>
    <r>
      <rPr>
        <sz val="8"/>
        <color rgb="FF000000"/>
        <rFont val="Arial"/>
      </rPr>
      <t xml:space="preserve">; figures in this table are </t>
    </r>
    <r>
      <rPr>
        <sz val="8"/>
        <color rgb="FF000000"/>
        <rFont val="Arial"/>
      </rPr>
      <t>metric tons</t>
    </r>
    <r>
      <rPr>
        <sz val="8"/>
        <color rgb="FF000000"/>
        <rFont val="Arial"/>
      </rPr>
      <t>.</t>
    </r>
    <r>
      <rPr>
        <sz val="8"/>
        <color rgb="FF000000"/>
        <rFont val="Arial"/>
      </rPr>
      <t xml:space="preserve"> </t>
    </r>
  </si>
  <si>
    <r>
      <rPr>
        <vertAlign val="superscript"/>
        <sz val="9"/>
        <color rgb="FF000000"/>
        <rFont val="Arial"/>
      </rPr>
      <t xml:space="preserve">1 </t>
    </r>
    <r>
      <rPr>
        <sz val="9"/>
        <color rgb="FF000000"/>
        <rFont val="Arial"/>
      </rPr>
      <t>GRI Standards disclosure GRI 306-4: Waste diverted from dispo</t>
    </r>
    <r>
      <rPr>
        <sz val="9"/>
        <color rgb="FF000000"/>
        <rFont val="Arial"/>
      </rPr>
      <t>s</t>
    </r>
    <r>
      <rPr>
        <sz val="9"/>
        <color rgb="FF000000"/>
        <rFont val="Arial"/>
      </rPr>
      <t>al</t>
    </r>
  </si>
  <si>
    <t>HEALTH &amp; SAFETY: COVID H&amp;S STATS</t>
  </si>
  <si>
    <r>
      <rPr>
        <b/>
        <sz val="10"/>
        <color rgb="FF000000"/>
        <rFont val="Arial"/>
      </rPr>
      <t>COVID-19 cases at Newmont sites</t>
    </r>
    <r>
      <rPr>
        <b/>
        <vertAlign val="superscript"/>
        <sz val="10"/>
        <color rgb="FF000000"/>
        <rFont val="Arial"/>
      </rPr>
      <t>1</t>
    </r>
  </si>
  <si>
    <t>Total cases (employees and contractors)</t>
  </si>
  <si>
    <t>Total tests</t>
  </si>
  <si>
    <t>Africa</t>
  </si>
  <si>
    <t>North America</t>
  </si>
  <si>
    <t>South America</t>
  </si>
  <si>
    <r>
      <rPr>
        <vertAlign val="superscript"/>
        <sz val="8"/>
        <color rgb="FF000000"/>
        <rFont val="Arial"/>
      </rPr>
      <t>1</t>
    </r>
    <r>
      <rPr>
        <sz val="8"/>
        <color rgb="FF000000"/>
        <rFont val="Arial"/>
      </rPr>
      <t>This table does not include CO</t>
    </r>
    <r>
      <rPr>
        <sz val="8"/>
        <color rgb="FF000000"/>
        <rFont val="Arial"/>
      </rPr>
      <t>V</t>
    </r>
    <r>
      <rPr>
        <sz val="8"/>
        <color rgb="FF000000"/>
        <rFont val="Arial"/>
      </rPr>
      <t>ID-related fatalities because they are not work</t>
    </r>
    <r>
      <rPr>
        <sz val="8"/>
        <color rgb="FF000000"/>
        <rFont val="Arial"/>
      </rPr>
      <t>-</t>
    </r>
    <r>
      <rPr>
        <sz val="8"/>
        <color rgb="FF000000"/>
        <rFont val="Arial"/>
      </rPr>
      <t>related.</t>
    </r>
  </si>
  <si>
    <t>SAFETY &amp; HEALTH: EMERGENCY PREPAREDNESS</t>
  </si>
  <si>
    <r>
      <rPr>
        <b/>
        <sz val="10"/>
        <color rgb="FF000000"/>
        <rFont val="Arial"/>
      </rPr>
      <t>Country</t>
    </r>
    <r>
      <rPr>
        <b/>
        <vertAlign val="superscript"/>
        <sz val="10"/>
        <color rgb="FF000000"/>
        <rFont val="Arial"/>
      </rPr>
      <t>2</t>
    </r>
  </si>
  <si>
    <r>
      <rPr>
        <b/>
        <sz val="10"/>
        <color rgb="FF000000"/>
        <rFont val="Arial"/>
      </rPr>
      <t>No. emergency response simulations and trainings</t>
    </r>
    <r>
      <rPr>
        <b/>
        <vertAlign val="superscript"/>
        <sz val="10"/>
        <color rgb="FF000000"/>
        <rFont val="Arial"/>
      </rPr>
      <t>3</t>
    </r>
  </si>
  <si>
    <t>No. Rapid Response team members at this location</t>
  </si>
  <si>
    <t>OTHER</t>
  </si>
  <si>
    <t>Undefined</t>
  </si>
  <si>
    <r>
      <rPr>
        <vertAlign val="superscript"/>
        <sz val="8"/>
        <color rgb="FF000000"/>
        <rFont val="Arial"/>
      </rPr>
      <t>1</t>
    </r>
    <r>
      <rPr>
        <vertAlign val="superscript"/>
        <sz val="8"/>
        <color rgb="FF000000"/>
        <rFont val="Arial"/>
      </rPr>
      <t xml:space="preserve"> </t>
    </r>
    <r>
      <rPr>
        <sz val="8"/>
        <color rgb="FF000000"/>
        <rFont val="Arial"/>
      </rPr>
      <t xml:space="preserve">Non-mine sites are: Accra, Africa regional headquarters; Denver, Colorado (U.S.) corporate headquarters and metallurgy lab; Perth, Australia regional headquarters; Miami, South America regional office; Vancouver, North America regional office.
</t>
    </r>
    <r>
      <rPr>
        <vertAlign val="superscript"/>
        <sz val="8"/>
        <color rgb="FF000000"/>
        <rFont val="Arial"/>
      </rPr>
      <t>2</t>
    </r>
    <r>
      <rPr>
        <sz val="8"/>
        <color rgb="FF000000"/>
        <rFont val="Arial"/>
      </rPr>
      <t xml:space="preserve"> </t>
    </r>
    <r>
      <rPr>
        <sz val="8"/>
        <color rgb="FF000000"/>
        <rFont val="Arial"/>
      </rPr>
      <t>Due to the COVID p</t>
    </r>
    <r>
      <rPr>
        <sz val="8"/>
        <color rgb="FF000000"/>
        <rFont val="Arial"/>
      </rPr>
      <t xml:space="preserve">andemic many response teams had an active emergency response all year long. As such, some </t>
    </r>
    <r>
      <rPr>
        <sz val="8"/>
        <color rgb="FF000000"/>
        <rFont val="Arial"/>
      </rPr>
      <t>leeway</t>
    </r>
    <r>
      <rPr>
        <sz val="8"/>
        <color rgb="FF000000"/>
        <rFont val="Arial"/>
      </rPr>
      <t xml:space="preserve"> was given to the standard requirement</t>
    </r>
    <r>
      <rPr>
        <sz val="8"/>
        <color rgb="FF000000"/>
        <rFont val="Arial"/>
      </rPr>
      <t xml:space="preserve"> that all teams</t>
    </r>
    <r>
      <rPr>
        <sz val="8"/>
        <color rgb="FF000000"/>
        <rFont val="Arial"/>
      </rPr>
      <t xml:space="preserve"> conduct an</t>
    </r>
    <r>
      <rPr>
        <sz val="8"/>
        <color rgb="FF000000"/>
        <rFont val="Arial"/>
      </rPr>
      <t xml:space="preserve"> annual exercise.
</t>
    </r>
    <r>
      <rPr>
        <vertAlign val="superscript"/>
        <sz val="8"/>
        <color rgb="FF000000"/>
        <rFont val="Arial"/>
      </rPr>
      <t xml:space="preserve">3 </t>
    </r>
    <r>
      <rPr>
        <sz val="8"/>
        <color rgb="FF000000"/>
        <rFont val="Arial"/>
      </rPr>
      <t xml:space="preserve">This does not include the site exercises to support emergency response related to our </t>
    </r>
    <r>
      <rPr>
        <sz val="8"/>
        <color rgb="FF000000"/>
        <rFont val="Arial"/>
      </rPr>
      <t>t</t>
    </r>
    <r>
      <rPr>
        <sz val="8"/>
        <color rgb="FF000000"/>
        <rFont val="Arial"/>
      </rPr>
      <t xml:space="preserve">ailings </t>
    </r>
    <r>
      <rPr>
        <sz val="8"/>
        <color rgb="FF000000"/>
        <rFont val="Arial"/>
      </rPr>
      <t>s</t>
    </r>
    <r>
      <rPr>
        <sz val="8"/>
        <color rgb="FF000000"/>
        <rFont val="Arial"/>
      </rPr>
      <t xml:space="preserve">torage </t>
    </r>
    <r>
      <rPr>
        <sz val="8"/>
        <color rgb="FF000000"/>
        <rFont val="Arial"/>
      </rPr>
      <t>f</t>
    </r>
    <r>
      <rPr>
        <sz val="8"/>
        <color rgb="FF000000"/>
        <rFont val="Arial"/>
      </rPr>
      <t>acilitie</t>
    </r>
    <r>
      <rPr>
        <sz val="8"/>
        <color rgb="FF000000"/>
        <rFont val="Arial"/>
      </rPr>
      <t xml:space="preserve">s.
</t>
    </r>
    <r>
      <rPr>
        <sz val="8"/>
        <color rgb="FF000000"/>
        <rFont val="Arial"/>
      </rPr>
      <t/>
    </r>
  </si>
  <si>
    <t>SAFETY &amp; HEALTH: WORKFORCE SAFETY STATS</t>
  </si>
  <si>
    <r>
      <rPr>
        <b/>
        <sz val="10"/>
        <color rgb="FF000000"/>
        <rFont val="Arial"/>
      </rPr>
      <t>Employee-only safety rates: Trailing five year data</t>
    </r>
    <r>
      <rPr>
        <b/>
        <vertAlign val="superscript"/>
        <sz val="10"/>
        <color rgb="FF000000"/>
        <rFont val="Arial"/>
      </rPr>
      <t>1, 2, 3</t>
    </r>
  </si>
  <si>
    <t>Exposure hours</t>
  </si>
  <si>
    <t>Fatalities</t>
  </si>
  <si>
    <t>Restricted work injuries</t>
  </si>
  <si>
    <t>Medical treatment injuries</t>
  </si>
  <si>
    <t>Lost day injuries</t>
  </si>
  <si>
    <t>LTIFR
(lost time)</t>
  </si>
  <si>
    <t>TRIFR
(Total recordable)</t>
  </si>
  <si>
    <t>Recordable illnesses</t>
  </si>
  <si>
    <t>OIFR (occupational illness)</t>
  </si>
  <si>
    <r>
      <rPr>
        <b/>
        <sz val="10"/>
        <color rgb="FF000000"/>
        <rFont val="Arial"/>
      </rPr>
      <t>Contractor-only safety rates: Trailing five year data</t>
    </r>
    <r>
      <rPr>
        <b/>
        <vertAlign val="superscript"/>
        <sz val="10"/>
        <color rgb="FF000000"/>
        <rFont val="Arial"/>
      </rPr>
      <t>1, 2, 3</t>
    </r>
  </si>
  <si>
    <t>TRIFR
(total recordable)</t>
  </si>
  <si>
    <r>
      <rPr>
        <b/>
        <sz val="10"/>
        <color rgb="FF000000"/>
        <rFont val="Arial"/>
      </rPr>
      <t>Combined safety rates: Trailing five year data</t>
    </r>
    <r>
      <rPr>
        <b/>
        <vertAlign val="superscript"/>
        <sz val="10"/>
        <color rgb="FF000000"/>
        <rFont val="Arial"/>
      </rPr>
      <t>1, 2, 3</t>
    </r>
  </si>
  <si>
    <t xml:space="preserve">General safety training </t>
  </si>
  <si>
    <r>
      <rPr>
        <b/>
        <sz val="10"/>
        <color rgb="FF000000"/>
        <rFont val="Arial"/>
      </rPr>
      <t>Topic-specific safety training</t>
    </r>
    <r>
      <rPr>
        <b/>
        <vertAlign val="superscript"/>
        <sz val="10"/>
        <color rgb="FF000000"/>
        <rFont val="Arial"/>
      </rPr>
      <t>2</t>
    </r>
  </si>
  <si>
    <t>LTIFR</t>
  </si>
  <si>
    <t>TRIFR</t>
  </si>
  <si>
    <t>Lost Time Injury Frequemcy Rate (LTIFR)</t>
  </si>
  <si>
    <t>Accra - regional office</t>
  </si>
  <si>
    <t>No.  trainings</t>
  </si>
  <si>
    <t xml:space="preserve">Duration (hours) </t>
  </si>
  <si>
    <t>No. people trained</t>
  </si>
  <si>
    <t>No. trainings</t>
  </si>
  <si>
    <t>Total Recordable Injury Frequency Rate (TRIFR)</t>
  </si>
  <si>
    <t>OIFR</t>
  </si>
  <si>
    <r>
      <rPr>
        <sz val="10"/>
        <color rgb="FF000000"/>
        <rFont val="Arial"/>
      </rPr>
      <t>Permanently Disabling Injury (PDI)</t>
    </r>
    <r>
      <rPr>
        <vertAlign val="superscript"/>
        <sz val="10"/>
        <color rgb="FF000000"/>
        <rFont val="Arial"/>
      </rPr>
      <t>3</t>
    </r>
  </si>
  <si>
    <t>Occupational Illness Frequency Rate (OIFR)</t>
  </si>
  <si>
    <r>
      <rPr>
        <vertAlign val="superscript"/>
        <sz val="8"/>
        <color rgb="FF000000"/>
        <rFont val="Arial"/>
      </rPr>
      <t xml:space="preserve">1 </t>
    </r>
    <r>
      <rPr>
        <sz val="8"/>
        <color rgb="FF000000"/>
        <rFont val="Arial"/>
      </rPr>
      <t xml:space="preserve">OIFR rates include illnesses related to airborne agents as well as noise-induced hearing loss (NIHL), infectious diseases (such as malaria, tuberculosis and dengue fever) and musculoskeletal disorders). 
</t>
    </r>
    <r>
      <rPr>
        <vertAlign val="superscript"/>
        <sz val="8"/>
        <color rgb="FF000000"/>
        <rFont val="Arial"/>
      </rPr>
      <t xml:space="preserve">2 </t>
    </r>
    <r>
      <rPr>
        <sz val="8"/>
        <color rgb="FF000000"/>
        <rFont val="Arial"/>
      </rPr>
      <t>2019 data include former Nevada assets from Jan 1 - June 30, 2019 and includes all office, metallurgy laboratory, project and exploration sites. As we integrate reporting systems, Goldcorp data will be included in future data sets. We do not disaggregate safety data by gender. Beginning in 2017, we began reporting TRIFR and LTIFR data in alignment with ICMM guidelines. Data for the year</t>
    </r>
    <r>
      <rPr>
        <sz val="8"/>
        <color rgb="FF000000"/>
        <rFont val="Arial"/>
      </rPr>
      <t xml:space="preserve"> 2016 ha</t>
    </r>
    <r>
      <rPr>
        <sz val="8"/>
        <color rgb="FF000000"/>
        <rFont val="Arial"/>
      </rPr>
      <t>s</t>
    </r>
    <r>
      <rPr>
        <sz val="8"/>
        <color rgb="FF000000"/>
        <rFont val="Arial"/>
      </rPr>
      <t xml:space="preserve"> been restated to reflect this reclassification.</t>
    </r>
    <r>
      <rPr>
        <sz val="8"/>
        <color rgb="FF000000"/>
        <rFont val="Arial"/>
      </rPr>
      <t xml:space="preserve"> 
</t>
    </r>
    <r>
      <rPr>
        <vertAlign val="superscript"/>
        <sz val="8"/>
        <color rgb="FF000000"/>
        <rFont val="Arial"/>
      </rPr>
      <t>3</t>
    </r>
    <r>
      <rPr>
        <sz val="8"/>
        <color rgb="FF000000"/>
        <rFont val="Arial"/>
      </rPr>
      <t xml:space="preserve"> </t>
    </r>
    <r>
      <rPr>
        <sz val="8"/>
        <color rgb="FF000000"/>
        <rFont val="Arial"/>
      </rPr>
      <t xml:space="preserve">GRI Standards disclosures GRI 403-9: Work-related injuries; GRI 403-2: Types of injury and rates of injury, occupational diseases, lost days, and absenteeism, and number of work-related fatalities. </t>
    </r>
    <r>
      <rPr>
        <sz val="8"/>
        <color rgb="FF000000"/>
        <rFont val="Arial"/>
      </rPr>
      <t xml:space="preserve"> 
</t>
    </r>
    <r>
      <rPr>
        <sz val="8"/>
        <color rgb="FF000000"/>
        <rFont val="Arial"/>
      </rPr>
      <t/>
    </r>
  </si>
  <si>
    <r>
      <rPr>
        <vertAlign val="superscript"/>
        <sz val="8"/>
        <color rgb="FF000000"/>
        <rFont val="Arial"/>
      </rPr>
      <t xml:space="preserve">1 </t>
    </r>
    <r>
      <rPr>
        <vertAlign val="superscript"/>
        <sz val="8"/>
        <color rgb="FF000000"/>
        <rFont val="Arial"/>
      </rPr>
      <t xml:space="preserve"> </t>
    </r>
    <r>
      <rPr>
        <sz val="8"/>
        <color rgb="FF000000"/>
        <rFont val="Arial"/>
      </rPr>
      <t xml:space="preserve">2019 data includes former Nevada assets from Jan 1 - June 30, 2019 and includes all office, metallurgy laboratory, project and exploration sites. We do not collect this data by gender. </t>
    </r>
    <r>
      <rPr>
        <sz val="8"/>
        <color rgb="FF000000"/>
        <rFont val="Arial"/>
      </rPr>
      <t xml:space="preserve"> 
</t>
    </r>
    <r>
      <rPr>
        <vertAlign val="superscript"/>
        <sz val="8"/>
        <color rgb="FF000000"/>
        <rFont val="Arial"/>
      </rPr>
      <t xml:space="preserve">2 </t>
    </r>
    <r>
      <rPr>
        <vertAlign val="superscript"/>
        <sz val="8"/>
        <color rgb="FF000000"/>
        <rFont val="Arial"/>
      </rPr>
      <t xml:space="preserve"> </t>
    </r>
    <r>
      <rPr>
        <sz val="8"/>
        <color rgb="FF000000"/>
        <rFont val="Arial"/>
      </rPr>
      <t>Beginning in 2017, we began reporting TRIFR and LTIFR data in alignment with ICMM guidelines. Data for the years 2015 and 2016 have been restated to reflect this reclassification.</t>
    </r>
    <r>
      <rPr>
        <sz val="8"/>
        <color rgb="FF000000"/>
        <rFont val="Arial"/>
      </rPr>
      <t xml:space="preserve"> 
</t>
    </r>
    <r>
      <rPr>
        <vertAlign val="superscript"/>
        <sz val="8"/>
        <color rgb="FF000000"/>
        <rFont val="Arial"/>
      </rPr>
      <t xml:space="preserve">3 </t>
    </r>
    <r>
      <rPr>
        <vertAlign val="superscript"/>
        <sz val="8"/>
        <color rgb="FF000000"/>
        <rFont val="Arial"/>
      </rPr>
      <t xml:space="preserve"> </t>
    </r>
    <r>
      <rPr>
        <sz val="8"/>
        <color rgb="FF000000"/>
        <rFont val="Arial"/>
      </rPr>
      <t xml:space="preserve">As part of the updated reporting requirements that went into effect on January 1, 2018, our Serious Injury Frequency Rate (SIFR) classification has changed to Permanently Disabling Injury/Illness (PDI).
</t>
    </r>
    <r>
      <rPr>
        <vertAlign val="superscript"/>
        <sz val="8"/>
        <color rgb="FF000000"/>
        <rFont val="Arial"/>
      </rPr>
      <t>4</t>
    </r>
    <r>
      <rPr>
        <sz val="8"/>
        <color rgb="FF000000"/>
        <rFont val="Arial"/>
      </rPr>
      <t xml:space="preserve"> </t>
    </r>
    <r>
      <rPr>
        <sz val="8"/>
        <color rgb="FF000000"/>
        <rFont val="Arial"/>
      </rPr>
      <t>GRI Standards disclosures GRI 403-9: Work-related injuries; GRI 403-2: Types of injury and rates of injury, occupational diseases, lost days, and absenteeism, and number of work-related fatalities.</t>
    </r>
    <r>
      <rPr>
        <sz val="8"/>
        <color rgb="FF000000"/>
        <rFont val="Arial"/>
      </rPr>
      <t xml:space="preserve"> </t>
    </r>
  </si>
  <si>
    <r>
      <rPr>
        <vertAlign val="superscript"/>
        <sz val="8"/>
        <color rgb="FF000000"/>
        <rFont val="Arial"/>
      </rPr>
      <t xml:space="preserve">1 </t>
    </r>
    <r>
      <rPr>
        <sz val="8"/>
        <color rgb="FF000000"/>
        <rFont val="Arial"/>
      </rPr>
      <t xml:space="preserve">OIFR rates include illnesses related to airborne agents as well as noise-induced hearing loss (NIHL), infectious diseases (such as malaria, tuberculosis and dengue fever) and musculoskeletal disorders). 
</t>
    </r>
    <r>
      <rPr>
        <vertAlign val="superscript"/>
        <sz val="8"/>
        <color rgb="FF000000"/>
        <rFont val="Arial"/>
      </rPr>
      <t xml:space="preserve">2 </t>
    </r>
    <r>
      <rPr>
        <vertAlign val="superscript"/>
        <sz val="8"/>
        <color rgb="FF000000"/>
        <rFont val="Arial"/>
      </rPr>
      <t xml:space="preserve"> </t>
    </r>
    <r>
      <rPr>
        <sz val="8"/>
        <color rgb="FF000000"/>
        <rFont val="Arial"/>
      </rPr>
      <t>2019 data include former Nevada assets from Jan 1 - June 30, 2019 and includes all office, metallurgy laboratory, project and exploration sites. As we integrate reporting systems, Goldcorp data will be included in future data sets. We do not disaggregate safety data by gender. Beginning in 2017, we began reporting TRIFR and LTIFR data in alignment with ICMM guidelines. Data for the 2016 ha</t>
    </r>
    <r>
      <rPr>
        <sz val="8"/>
        <color rgb="FF000000"/>
        <rFont val="Arial"/>
      </rPr>
      <t>s</t>
    </r>
    <r>
      <rPr>
        <sz val="8"/>
        <color rgb="FF000000"/>
        <rFont val="Arial"/>
      </rPr>
      <t xml:space="preserve"> been restated to reflect this reclassification.
</t>
    </r>
    <r>
      <rPr>
        <vertAlign val="superscript"/>
        <sz val="8"/>
        <color rgb="FF000000"/>
        <rFont val="Arial"/>
      </rPr>
      <t xml:space="preserve">3 </t>
    </r>
    <r>
      <rPr>
        <sz val="8"/>
        <color rgb="FF000000"/>
        <rFont val="Arial"/>
      </rPr>
      <t xml:space="preserve">GRI Standards disclosures GRI 403-9: Work-related injuries; GRI 403-2: Types of injury and rates of injury, occupational diseases, lost days, and absenteeism, and number of work-related fatalities. </t>
    </r>
    <r>
      <rPr>
        <sz val="8"/>
        <color rgb="FF000000"/>
        <rFont val="Arial"/>
      </rPr>
      <t xml:space="preserve"> </t>
    </r>
  </si>
  <si>
    <t>Exploration</t>
  </si>
  <si>
    <r>
      <rPr>
        <vertAlign val="superscript"/>
        <sz val="8"/>
        <color rgb="FF000000"/>
        <rFont val="Arial"/>
      </rPr>
      <t xml:space="preserve">1 </t>
    </r>
    <r>
      <rPr>
        <sz val="8"/>
        <color rgb="FF000000"/>
        <rFont val="Arial"/>
      </rPr>
      <t>O</t>
    </r>
    <r>
      <rPr>
        <sz val="8"/>
        <color rgb="FF000000"/>
        <rFont val="Arial"/>
      </rPr>
      <t xml:space="preserve">IFR rates include illnesses related to airborne agents as well as noise-induced hearing loss (NIHL), infectious diseases (such as malaria, tuberculosis and dengue fever) and musculoskeletal disorders). </t>
    </r>
    <r>
      <rPr>
        <sz val="8"/>
        <color rgb="FF000000"/>
        <rFont val="Arial"/>
      </rPr>
      <t xml:space="preserve"> 
</t>
    </r>
    <r>
      <rPr>
        <vertAlign val="superscript"/>
        <sz val="8"/>
        <color rgb="FF000000"/>
        <rFont val="Arial"/>
      </rPr>
      <t>2</t>
    </r>
    <r>
      <rPr>
        <sz val="8"/>
        <color rgb="FF000000"/>
        <rFont val="Arial"/>
      </rPr>
      <t xml:space="preserve"> </t>
    </r>
    <r>
      <rPr>
        <sz val="8"/>
        <color rgb="FF000000"/>
        <rFont val="Arial"/>
      </rPr>
      <t xml:space="preserve">2019 data include former Nevada assets from Jan 1 - June 30, 2019 and includes all office, metallurgy laboratory, project and exploration sites. As we integrate reporting systems, Goldcorp data will be included in future data sets. We do not disaggregate safety data by gender. Beginning in 2017, we began reporting TRIFR and LTIFR data in alignment with ICMM guidelines. Data for the years 2015 and 2016 have been restated to reflect this reclassification.
</t>
    </r>
    <r>
      <rPr>
        <vertAlign val="superscript"/>
        <sz val="8"/>
        <color rgb="FF000000"/>
        <rFont val="Arial"/>
      </rPr>
      <t>3</t>
    </r>
    <r>
      <rPr>
        <sz val="8"/>
        <color rgb="FF000000"/>
        <rFont val="Arial"/>
      </rPr>
      <t xml:space="preserve"> </t>
    </r>
    <r>
      <rPr>
        <sz val="8"/>
        <color rgb="FF000000"/>
        <rFont val="Arial"/>
      </rPr>
      <t xml:space="preserve">GRI Standards disclosures GRI 403-9: Work-related injuries and GRI 403-2: Types of injury and rates of injury, occupational diseases, lost days, and absenteeism, and number of work-related fatalities.
</t>
    </r>
    <r>
      <rPr>
        <sz val="8"/>
        <color rgb="FF000000"/>
        <rFont val="Arial"/>
      </rPr>
      <t/>
    </r>
  </si>
  <si>
    <t>Africa Exploration</t>
  </si>
  <si>
    <t>Ahafo North project</t>
  </si>
  <si>
    <t>Perth - regional office</t>
  </si>
  <si>
    <t>Projects</t>
  </si>
  <si>
    <t>Denver - headquarters</t>
  </si>
  <si>
    <t>Legacy sites</t>
  </si>
  <si>
    <t>Denver - metallurgy lab</t>
  </si>
  <si>
    <t>Denver headquarters</t>
  </si>
  <si>
    <t>Miami - regional office</t>
  </si>
  <si>
    <t>Denver metallurgy lab</t>
  </si>
  <si>
    <t xml:space="preserve">Miami - regional office </t>
  </si>
  <si>
    <t>Vancouver - regional office</t>
  </si>
  <si>
    <t>Legacy Sites</t>
  </si>
  <si>
    <r>
      <rPr>
        <vertAlign val="superscript"/>
        <sz val="8"/>
        <color rgb="FF000000"/>
        <rFont val="Arial"/>
      </rPr>
      <t>1</t>
    </r>
    <r>
      <rPr>
        <vertAlign val="superscript"/>
        <sz val="8"/>
        <color rgb="FF000000"/>
        <rFont val="Arial"/>
      </rPr>
      <t xml:space="preserve"> </t>
    </r>
    <r>
      <rPr>
        <sz val="8"/>
        <color rgb="FF000000"/>
        <rFont val="Arial"/>
      </rPr>
      <t xml:space="preserve"> Note that emergency response training data is omitted from this SASB disclosure; please reference Emergency Preparedness data table for the number of emergency response trainings and simulations and number of Rapid Response global team members in 20</t>
    </r>
    <r>
      <rPr>
        <sz val="8"/>
        <color rgb="FF000000"/>
        <rFont val="Arial"/>
      </rPr>
      <t>20</t>
    </r>
    <r>
      <rPr>
        <sz val="8"/>
        <color rgb="FF000000"/>
        <rFont val="Arial"/>
      </rPr>
      <t xml:space="preserve">. 
</t>
    </r>
    <r>
      <rPr>
        <vertAlign val="superscript"/>
        <sz val="8"/>
        <color rgb="FF000000"/>
        <rFont val="Arial"/>
      </rPr>
      <t xml:space="preserve">2 </t>
    </r>
    <r>
      <rPr>
        <sz val="8"/>
        <color rgb="FF000000"/>
        <rFont val="Arial"/>
      </rPr>
      <t>Topic-specific safety training differs from general safety culture and awareness trainings; topics covered in 20</t>
    </r>
    <r>
      <rPr>
        <sz val="8"/>
        <color rgb="FF000000"/>
        <rFont val="Arial"/>
      </rPr>
      <t>20</t>
    </r>
    <r>
      <rPr>
        <sz val="8"/>
        <color rgb="FF000000"/>
        <rFont val="Arial"/>
      </rPr>
      <t xml:space="preserve"> include specific safety focus areas that include fatality risk management, fatigue prevention, hazardous situation trainings, materials handling, and hand injury prevention trainings.</t>
    </r>
    <r>
      <rPr>
        <vertAlign val="superscript"/>
        <sz val="8"/>
        <color rgb="FF000000"/>
        <rFont val="Arial"/>
      </rPr>
      <t xml:space="preserve"> </t>
    </r>
    <r>
      <rPr>
        <vertAlign val="superscript"/>
        <sz val="8"/>
        <color rgb="FF000000"/>
        <rFont val="Arial"/>
      </rPr>
      <t xml:space="preserve"> 
</t>
    </r>
    <r>
      <rPr>
        <vertAlign val="superscript"/>
        <sz val="8"/>
        <color rgb="FF000000"/>
        <rFont val="Arial"/>
      </rPr>
      <t xml:space="preserve">3 </t>
    </r>
    <r>
      <rPr>
        <sz val="8"/>
        <color rgb="FF000000"/>
        <rFont val="Arial"/>
      </rPr>
      <t>GRI Standards disclosure GRI: 403-5 Worker training on occupational health and safety; SASB Metals &amp; Mining Sustainability Accounting Standard EM-MM-320a.1. (4) average hours of health, safety, and emergency response training for (a) full-time employees and (b) contract employees. Reference Emergency Preparedness data tables for relevant training and simulation data for 20</t>
    </r>
    <r>
      <rPr>
        <sz val="8"/>
        <color rgb="FF000000"/>
        <rFont val="Arial"/>
      </rPr>
      <t>20</t>
    </r>
    <r>
      <rPr>
        <sz val="8"/>
        <color rgb="FF000000"/>
        <rFont val="Arial"/>
      </rPr>
      <t xml:space="preserve">. 
</t>
    </r>
    <r>
      <rPr>
        <sz val="8"/>
        <color rgb="FF000000"/>
        <rFont val="Arial"/>
      </rPr>
      <t/>
    </r>
  </si>
  <si>
    <r>
      <rPr>
        <vertAlign val="superscript"/>
        <sz val="8"/>
        <color rgb="FF000000"/>
        <rFont val="Arial"/>
      </rPr>
      <t xml:space="preserve">1 </t>
    </r>
    <r>
      <rPr>
        <sz val="8"/>
        <color rgb="FF000000"/>
        <rFont val="Arial"/>
      </rPr>
      <t xml:space="preserve">2019 data include former Nevada assets from Jan 1 - June 30, 2019 and includes all office, metallurgy laboratory, project and exploration sites. We do not collect this data by gender. All data has been adjusted to reflect our reclassification of injuries and illnesses to align with ICMM guidelines.
</t>
    </r>
    <r>
      <rPr>
        <vertAlign val="superscript"/>
        <sz val="8"/>
        <color rgb="FF000000"/>
        <rFont val="Arial"/>
      </rPr>
      <t xml:space="preserve">2 </t>
    </r>
    <r>
      <rPr>
        <sz val="8"/>
        <color rgb="FF000000"/>
        <rFont val="Arial"/>
      </rPr>
      <t>GRI Standards disclosures GRI 403-9: Work-related injuries; GRI 403-2: Types of injury and rates of injury, occupational diseases, lost days, and absenteeism, and number of work-related fatalities.</t>
    </r>
    <r>
      <rPr>
        <sz val="8"/>
        <color rgb="FF000000"/>
        <rFont val="Arial"/>
      </rPr>
      <t xml:space="preserve"> </t>
    </r>
  </si>
  <si>
    <r>
      <rPr>
        <vertAlign val="superscript"/>
        <sz val="8"/>
        <color rgb="FF000000"/>
        <rFont val="Arial"/>
      </rPr>
      <t xml:space="preserve">1 </t>
    </r>
    <r>
      <rPr>
        <vertAlign val="superscript"/>
        <sz val="8"/>
        <color rgb="FF000000"/>
        <rFont val="Arial"/>
      </rPr>
      <t xml:space="preserve"> </t>
    </r>
    <r>
      <rPr>
        <sz val="8"/>
        <color rgb="FF000000"/>
        <rFont val="Arial"/>
      </rPr>
      <t xml:space="preserve">2019 data include former Nevada assets from Jan 1 - June 30, 2019 and includes all office, metallurgy laboratory, project and exploration sites. We do not collect this data by gender. All data has been adjusted to reflect our reclassification of injuries and illnesses to align with ICMM guidelines.
</t>
    </r>
    <r>
      <rPr>
        <vertAlign val="superscript"/>
        <sz val="8"/>
        <color rgb="FF000000"/>
        <rFont val="Arial"/>
      </rPr>
      <t xml:space="preserve">2 </t>
    </r>
    <r>
      <rPr>
        <sz val="8"/>
        <color rgb="FF000000"/>
        <rFont val="Arial"/>
      </rPr>
      <t xml:space="preserve">GRI Standards disclosures GRI 403-9: Work-related injuries; GRI 403-2: Types of injury and rates of injury, occupational diseases, lost days, and absenteeism, and number of work-related fatalities. </t>
    </r>
  </si>
  <si>
    <r>
      <rPr>
        <vertAlign val="superscript"/>
        <sz val="8"/>
        <color rgb="FF000000"/>
        <rFont val="Arial"/>
      </rPr>
      <t>1</t>
    </r>
    <r>
      <rPr>
        <vertAlign val="superscript"/>
        <sz val="8"/>
        <color rgb="FF000000"/>
        <rFont val="Arial"/>
      </rPr>
      <t xml:space="preserve"> </t>
    </r>
    <r>
      <rPr>
        <sz val="8"/>
        <color rgb="FF000000"/>
        <rFont val="Arial"/>
      </rPr>
      <t xml:space="preserve">This data </t>
    </r>
    <r>
      <rPr>
        <sz val="8"/>
        <color rgb="FF000000"/>
        <rFont val="Arial"/>
      </rPr>
      <t>includes all office, metallurgy laboratory, project and exploration sites. We do not collect this data by gender. All data has been adjusted to reflect our reclassification of injuries and illnesses to align with ICMM guidelines.</t>
    </r>
    <r>
      <rPr>
        <vertAlign val="superscript"/>
        <sz val="8"/>
        <color rgb="FF000000"/>
        <rFont val="Arial"/>
      </rPr>
      <t xml:space="preserve">	</t>
    </r>
    <r>
      <rPr>
        <vertAlign val="superscript"/>
        <sz val="8"/>
        <color rgb="FF000000"/>
        <rFont val="Arial"/>
      </rPr>
      <t xml:space="preserve">	</t>
    </r>
    <r>
      <rPr>
        <vertAlign val="superscript"/>
        <sz val="8"/>
        <color rgb="FF000000"/>
        <rFont val="Arial"/>
      </rPr>
      <t xml:space="preserve">	</t>
    </r>
    <r>
      <rPr>
        <vertAlign val="superscript"/>
        <sz val="8"/>
        <color rgb="FF000000"/>
        <rFont val="Arial"/>
      </rPr>
      <t xml:space="preserve">	</t>
    </r>
    <r>
      <rPr>
        <vertAlign val="superscript"/>
        <sz val="8"/>
        <color rgb="FF000000"/>
        <rFont val="Arial"/>
      </rPr>
      <t xml:space="preserve">	
</t>
    </r>
    <r>
      <rPr>
        <vertAlign val="superscript"/>
        <sz val="8"/>
        <color rgb="FF000000"/>
        <rFont val="Arial"/>
      </rPr>
      <t>2</t>
    </r>
    <r>
      <rPr>
        <vertAlign val="superscript"/>
        <sz val="8"/>
        <color rgb="FF000000"/>
        <rFont val="Arial"/>
      </rPr>
      <t xml:space="preserve"> </t>
    </r>
    <r>
      <rPr>
        <sz val="8"/>
        <color rgb="FF000000"/>
        <rFont val="Arial"/>
      </rPr>
      <t>GRI Standards disclosures 403-9: Work-related injuries; GRI 403-2: Types of injury and rates of injury, occupational diseases, lost days, and absenteeism, and number of work-related fatalities</t>
    </r>
    <r>
      <rPr>
        <sz val="8"/>
        <color rgb="FF000000"/>
        <rFont val="Arial"/>
      </rPr>
      <t>.</t>
    </r>
  </si>
  <si>
    <t>SOCIAL: ARTISANAL AND SMALL-SCALE MINING</t>
  </si>
  <si>
    <t xml:space="preserve">CC&amp;V </t>
  </si>
  <si>
    <r>
      <rPr>
        <vertAlign val="superscript"/>
        <sz val="8"/>
        <color rgb="FF000000"/>
        <rFont val="Arial"/>
      </rPr>
      <t xml:space="preserve">1 </t>
    </r>
    <r>
      <rPr>
        <vertAlign val="superscript"/>
        <sz val="8"/>
        <color rgb="FF000000"/>
        <rFont val="Arial"/>
      </rPr>
      <t xml:space="preserve"> </t>
    </r>
    <r>
      <rPr>
        <sz val="8"/>
        <color rgb="FF000000"/>
        <rFont val="Arial"/>
      </rPr>
      <t xml:space="preserve">Reference the Artisanal and small scale mining section of the 2020 Beyond the Mine annual sustainability report for a detailed discussion of Newmont's ASM </t>
    </r>
    <r>
      <rPr>
        <sz val="8"/>
        <color rgb="FF000000"/>
        <rFont val="Arial"/>
      </rPr>
      <t xml:space="preserve">risks and mitigation actions, along with Newmont's global ASM strategy and implementation of our strategic objectives in the above locations where ASM activities take place on or near our operations. 
</t>
    </r>
    <r>
      <rPr>
        <vertAlign val="superscript"/>
        <sz val="8"/>
        <color rgb="FF000000"/>
        <rFont val="Arial"/>
      </rPr>
      <t xml:space="preserve">2 </t>
    </r>
    <r>
      <rPr>
        <sz val="8"/>
        <color rgb="FF000000"/>
        <rFont val="Arial"/>
      </rPr>
      <t xml:space="preserve">GRI Standards disclosure: </t>
    </r>
    <r>
      <rPr>
        <sz val="8"/>
        <color rgb="FF000000"/>
        <rFont val="Arial"/>
      </rPr>
      <t xml:space="preserve">GRI Mining &amp; Metals Sector Supplement MM8: Number and percentage of company operating sites where ASM takes place on, or adjacent to the site; the associated risks and actions taken to mitigate these risks. </t>
    </r>
  </si>
  <si>
    <t>SOCIAL: COMMUNITY DEVELOPMENT</t>
  </si>
  <si>
    <t>Site coordinates with other agencies for social and community development programs</t>
  </si>
  <si>
    <r>
      <rPr>
        <b/>
        <sz val="10"/>
        <color rgb="FF000000"/>
        <rFont val="Arial"/>
      </rPr>
      <t>Sites has procedures for identifying and protecting subsistence-related resources of local communities</t>
    </r>
    <r>
      <rPr>
        <b/>
        <vertAlign val="superscript"/>
        <sz val="10"/>
        <color rgb="FF000000"/>
        <rFont val="Arial"/>
      </rPr>
      <t>1</t>
    </r>
  </si>
  <si>
    <r>
      <rPr>
        <b/>
        <sz val="10"/>
        <color rgb="FF000000"/>
        <rFont val="Arial"/>
      </rPr>
      <t>Site engaged in community infrastructure development in 20</t>
    </r>
    <r>
      <rPr>
        <b/>
        <sz val="10"/>
        <color rgb="FF000000"/>
        <rFont val="Arial"/>
      </rPr>
      <t>20</t>
    </r>
    <r>
      <rPr>
        <b/>
        <vertAlign val="superscript"/>
        <sz val="10"/>
        <color rgb="FF000000"/>
        <rFont val="Arial"/>
      </rPr>
      <t>2</t>
    </r>
  </si>
  <si>
    <r>
      <rPr>
        <vertAlign val="superscript"/>
        <sz val="8"/>
        <color rgb="FF000000"/>
        <rFont val="Arial"/>
      </rPr>
      <t xml:space="preserve">1 </t>
    </r>
    <r>
      <rPr>
        <sz val="8"/>
        <color rgb="FF000000"/>
        <rFont val="Arial"/>
      </rPr>
      <t xml:space="preserve">Subsistence-related resources include water, plants and wildlife.
</t>
    </r>
    <r>
      <rPr>
        <vertAlign val="superscript"/>
        <sz val="8"/>
        <color rgb="FF000000"/>
        <rFont val="Arial"/>
      </rPr>
      <t>2</t>
    </r>
    <r>
      <rPr>
        <sz val="8"/>
        <color rgb="FF000000"/>
        <rFont val="Arial"/>
      </rPr>
      <t xml:space="preserve"> </t>
    </r>
    <r>
      <rPr>
        <sz val="8"/>
        <color rgb="FF000000"/>
        <rFont val="Arial"/>
      </rPr>
      <t xml:space="preserve">Community infrastructure projects are defined as non-core business projects that have no direct business benefit to Newmont. 
</t>
    </r>
    <r>
      <rPr>
        <vertAlign val="superscript"/>
        <sz val="8"/>
        <color rgb="FF000000"/>
        <rFont val="Arial"/>
      </rPr>
      <t>3</t>
    </r>
    <r>
      <rPr>
        <sz val="8"/>
        <color rgb="FF000000"/>
        <rFont val="Arial"/>
      </rPr>
      <t xml:space="preserve"> </t>
    </r>
    <r>
      <rPr>
        <sz val="8"/>
        <color rgb="FF000000"/>
        <rFont val="Arial"/>
      </rPr>
      <t>GRI Standards disclosure GRI 413-1: Operations with local community engagement, impact assessments and development programs.</t>
    </r>
  </si>
  <si>
    <t>SOCIAL: ACTUAL OR POTENTIAL NEGATIVE COMMUNITY IMPACTS</t>
  </si>
  <si>
    <t>New in 2020</t>
  </si>
  <si>
    <r>
      <rPr>
        <b/>
        <sz val="10"/>
        <color rgb="FF000000"/>
        <rFont val="Arial"/>
      </rPr>
      <t>Actual and/or potential community impacts and mitigation responses by site</t>
    </r>
    <r>
      <rPr>
        <b/>
        <vertAlign val="superscript"/>
        <sz val="10"/>
        <color rgb="FF000000"/>
        <rFont val="Arial"/>
      </rPr>
      <t>1</t>
    </r>
  </si>
  <si>
    <t>Impact #1</t>
  </si>
  <si>
    <t xml:space="preserve">Sample(s) of management response to mitigate impact #1 </t>
  </si>
  <si>
    <t xml:space="preserve">Impact #2 </t>
  </si>
  <si>
    <t xml:space="preserve">Sample(s) of management response to mitigate impact #2 </t>
  </si>
  <si>
    <t>Impact #3</t>
  </si>
  <si>
    <t xml:space="preserve">Sample(s) of management response to mitigate impact #3 </t>
  </si>
  <si>
    <t>Potential impact on cultural significant site (Asuo Kofi shrine) near Awonsu pit</t>
  </si>
  <si>
    <t>Delay in distributing land-access compensation to project affected persons associated with the tailings storage facility (TSF) expansion due to cyber attack and COVID-19 pandemic</t>
  </si>
  <si>
    <t>1. Engaged project affected persons 
2. Worked with personnel in Newmont's Information Technology and Corporate functions to resolve the cyber attack issues
3. Processed and paid 90-day-past-due penalty to impacted beneficiaries</t>
  </si>
  <si>
    <t>Impacts to livelihoods (farming) and water source on the inhabitants in the operation's peripheral communities (Dupri and surrounding communities) due to clearing land for resettlement construction at Kenyase No. 2</t>
  </si>
  <si>
    <t>1.  Engaged inhabitants within the area 
2.  Processed and paid adequate compensation for the disturbed crops
3.  Collaborated with the District Assembly, Assemblyman and traditional leaders to provide alternative water for the inhabitants</t>
  </si>
  <si>
    <t>Air Quality/Dust</t>
  </si>
  <si>
    <t>Provide general complaints and grievances (C&amp;G) mechanism for community to lodge concerns
Address concerns at community meetings and open houses</t>
  </si>
  <si>
    <t>Land users' concern for safety related to transport trucks speeding on the access road to the mine (actual)</t>
  </si>
  <si>
    <t>Provide formal complaints and grievances mechanism for land users to lodge grievances and for Newmont to track the follow-up on the matter
Communicate grievances to transportation companies and call for an action plan to address matter
Ensure communications plan with security agents is in place to constantly remind drivers to follow the speed limits
Continue radar campaign to catch speeding transport trucks
Purchase permanent photo radar, which will be installed in the land users' camp areas along the access road</t>
  </si>
  <si>
    <t>Influx into Cree territory during moose season of non-native hunters accessing the area via the access road built for the mine (actual)</t>
  </si>
  <si>
    <t>Use internal communications channels to communicate and build cultural awareness among employees about the importance of respecting the Cree way of life and ensuring Cree land users are informed when others are accessing the territory
Collaborate with the Cree Nation Government to deploy game wardens on the territory during moose season</t>
  </si>
  <si>
    <t>Contamination of soils, water bodies and plants from dust generated by the conveyor belt (potential)</t>
  </si>
  <si>
    <t>Installd a new scraper at the end of the conveyor to limit the blowing of dust 
Monitor the dust jars in the area and conduct environmental sampling
Share the monitoring results with stakeholders on a continuous basis</t>
  </si>
  <si>
    <t>Concern with excessive speed of transport trucks hauling materials to site through the communities of Mishkeegogamang (highway is the local community main road) and Pickle Lake and related impacts to First Nation community members travelling on NORD Road to North Caribou from excessive speed, rocks flying on passing vehicles (actual)</t>
  </si>
  <si>
    <t>Provide notification to transport carriers through letter and telephone calls
Request community members  provide license plate numbers, truck company identification and any other information</t>
  </si>
  <si>
    <t>Loss of use and noise impacts from the mine on local land users (actual)</t>
  </si>
  <si>
    <t>Provide trappers compensation for area immediately impacted by mine infrastructure (however, noise travels past the area designated as loss of use)
Install noise silencers on ventilation raises and diesel generators</t>
  </si>
  <si>
    <t>Dusting issues from the tailings storage facility (actual and potential, with past incidents being rare)</t>
  </si>
  <si>
    <t>Include irrigation system in budget
Create a spigotting processing to ensure areas maintains saturation
Develop a plan to conduct hydroseeding on potential dusting sources</t>
  </si>
  <si>
    <t>Concers raised by local residents and land users related to noise originating from the Hollinger open pit (actual)</t>
  </si>
  <si>
    <t>Monitor noise in real time around the clock via monitoring stations and noise alerts
Create new list of possible noise sources for dispatch to accurately identify the source of the noise
Conduct annual noise audits
Ensure compliance with Best Management Plan
Engage community on performance via Hollinger Project Community Advisory Committee</t>
  </si>
  <si>
    <t>Impact to local residents and land users due to vibrations/overpressure originating from blasting activities in the Hollinger open pit (actual)</t>
  </si>
  <si>
    <t>Monitor vibrations in real time around the clock via monitoring stations and vibration alerts
Design blasts to comply with regulatory guidelines
Schedule blasts during the week and avoid blasting on statutory holidays and weekends
Conduct annual vibration audits
Study the impact of overpressure on the community
Ensure compliance with Best Management Plan
Execute Property Damage Claim and Resolution Programs
Engage community on performance via Hollinger Project Community Advisory Committee</t>
  </si>
  <si>
    <t>Impact to local residents and land users from dust originating from the Hollinger open pit, haul road traffic and Dome tailings facility (actual)</t>
  </si>
  <si>
    <t>Monitor air quality in real time via monitoring stations and dust collection stations
Issue early dust detection notifications
Conduct annual audit of dust monitoring equipment
Ensure compliance to Best Management Plan
Plan for calcium application in the spring and throughout summer
Regularly apply water and conduct cleaning activities
Engage the community on performance via Hollinger Project Community Advisory Committee</t>
  </si>
  <si>
    <t>Impact to the communities along the La Pardita-Cedros highway (La pardita, El Rosario, Tanquecillos, San Antonio, Palmas Grandes, Mesas del Portezuelo and El Trigo) from ditch cutting activities associated with the construction of the highway (actual)</t>
  </si>
  <si>
    <t>Investigate complaint and establish mitigation and/or compensation plan
Design and execute the highway construction works in a manner that mitigates recurring complaints by:
- Visiting and assessing the allegeded affected area
- Conducting study by external expert, when warranted
- Completing recommended works that address complaints; this includes leveling the land, constructing culverts, creating water passages and/or creating livestock passages</t>
  </si>
  <si>
    <t>Impact to the nearby Palmas Grandes, Mesas del Portezuelo and El Trigo communities from the TSF sediment carryover (actual)</t>
  </si>
  <si>
    <t>Investigate complaint and establish mitigation and/or compensation plan
Similar to addressing concerns with the highway construction, design and execute works in a manner that mitigates recurring complaints by:
- Visiting and assessing the allegeded affected area
- Conducting study by external expert, when warranted
- Completing recommended works that address complaints; this includes leveling the land, constructing culverts, creating water passages and/or creating livestock passages</t>
  </si>
  <si>
    <t>Increased demand for public and private services and infrastructure in Perito Moreno (actual)</t>
  </si>
  <si>
    <t>Collaborated with Inter-American development bank (IDB) and municipality of Perito Moreno to prioritize local development projects
Signed agreement with the provincial government to connect Perito Moreno to the national power grid; project will be deducted from future contributions to the Provincial Trust Fund</t>
  </si>
  <si>
    <t>Local economic impacts including an increase in the cost of living (acutal)</t>
  </si>
  <si>
    <t>Help diversify the local economy through collaborative efforts with the IDB 
Present to the local government (and socialize with the provincial government) plans to foster other non-mining activities (agriculture and livestock, tourism, etc.) and create new opportunities for the local community
Constructed new houses with the municipality to help relieve pressure on housing demands</t>
  </si>
  <si>
    <t>Expectations for employment and local purchases (actual)</t>
  </si>
  <si>
    <t>Provide transparent communications and information on commitments undertaken and their status to authorities and groups in the community
Produce annual Community Contribution Report and Value Creation and Distribution Report, detailing commitments</t>
  </si>
  <si>
    <t xml:space="preserve">Improve the functional capabilities of the Community Development Fund (CDF) </t>
  </si>
  <si>
    <t>Revised the CDF Board and provided support to ensure the CDF functions effectively and successfully executes projects for the Pamaka community</t>
  </si>
  <si>
    <t>[NEW IMPACT #2]
Improve employment opportunities 
PER MATT, DELETE:Stakeholder requested compensation for plants that were destroyed due to road maintenance activities by Newmont</t>
  </si>
  <si>
    <t>[NEW IMPACT #2]
Engaged consultant, who advised Newmont to consider training a selected group of community members for employment opportunities
Executing programs, including vocational training among community members, to develop key skills that are applicable to a variety of job opportunities including those outside the mine
PER MATT, DELETE: The complainant was not satisfied with the proposed amount of trees to be reimbursed by the company. He wanted to involve his lawyer again, but he was reminded about the different tiers of the C&amp;G mechanism and that if there is no valid lawsuit, it cannot be seen as a valid legal complaint either. The SR department had tried several times to reach him again to see what will work, but with no success. The complaint was abandoned per the C&amp;G procedure as the complainant could not be reached.</t>
  </si>
  <si>
    <t>Complaints from landowners for alleged damages to their homes caused by vibrations from blasting activities at La Quinua Sur</t>
  </si>
  <si>
    <t>Developed action plan to:
- Explain to stakeholders La Quinua Sur's scope of work and that no blasting has been carried out since 2017
- Propose to perform vibration monitoring with OSINERGMIN (National Regulatory Organism Supervising Investment in Energy and Mining) or with an independent expert (landowners did not accept this proposal)
- Propose to extend the improvement of their houses with the donation of materials (landowners did not accept this proposal)
- Have the Environmental Evaluation and Oversight Agency (OEFA) of the Ministry of Environment propose to address the claim (landowners did not accept this proposal)</t>
  </si>
  <si>
    <t>Incursions into the Antonio Explorations area by a family claiming that an area of land (11 hectares) was not sold by their grandfather to Yanacocha in the cited area and that the family should be compensation for the land and awarded contracting opportunities for their company</t>
  </si>
  <si>
    <t>Developed action plan to: 
- Explain to the family that the land purchase process between 1992 and 1996 was agreed upon, and that there are not pending issues
- Communicate to family members Yanacocha's Local Contracting Policy (and the limitations to contract with new companies), but offer subcontracting services through other contractors (family did not accept offer) 
- Activate site-level Rapid Response Team to ensure all relevant functions were engaged in monitoring and responding to matter</t>
  </si>
  <si>
    <t>Incursions into the Yanacocha area of operations by local-local entrepreneurs/contractors demanding contracting opportunities</t>
  </si>
  <si>
    <t>Developed action plan to:
- Explain to local entrepreneurs the current hiring policy, the business context of Yanacocha, the opportunities that are being generated, as well as the limitations to meet the expectations of new business opportunities
- Implemented plan for increasing local employment and local-local contractor opportunities in accordance with Yanacocha's business plan
- Communicate job opportunities at Yanacocha to authorities and village leaders</t>
  </si>
  <si>
    <t>Perception of unmet community expectations exacerbated by lack of visibility/participation in the community, low awareness of social investments, higher vacancy rates of company-owned houses and a lack of development of the Banksia Estate residential subdivision</t>
  </si>
  <si>
    <t>Refined stakeholder engagement management and social investment planning and implementation 
Leveraged greater employee volunteer participation in strategic and local community investment initiatives</t>
  </si>
  <si>
    <t xml:space="preserve">Concerns raised regarding the potential future cumulative amenity impacts (e.g., changes in noise and vibration levels, visual amenity, air quality and the feeling of safety) as a result of Newmont’s and South 32's (which is operated by BHP)  operations </t>
  </si>
  <si>
    <t>Formally engaged with South 32 via the South West Biodiversity Partnership 
Indirectly approached via investment partners to co-contribute to exsiting strategic investment partnerships the adderss local environmental and water impacts
Within the Community Reference Group (CRG), developed an overview of the South 32 and Newmont tenements, overlays and intersections and created a  agreement scope of collaboration to address potential cumulative environmental impacts</t>
  </si>
  <si>
    <t>Local Government Authority (LGA) and town of Boddington desire to reduce economic dependency on mining operations</t>
  </si>
  <si>
    <t>Continue to consider and scope options for discretionary investment in local economic development and diversisfication
Leverage opportunities through membership in the Hotham Willaims Economic Development Alliance (HWEDA) and participation in regional economic development initiatives</t>
  </si>
  <si>
    <t>Community safety and servcie issues related to heavy vehicle traffice usage on the Tanami Highway</t>
  </si>
  <si>
    <t>Included a safety and service options anaylsis as a priority action in the Tanami Desert Ten Year Plan (TYP); progressed the analysis in 2020</t>
  </si>
  <si>
    <t>Potential impact to signficant cultural resources, including sacred trees, associated with the Tanami airfield extension project to address safety concerns</t>
  </si>
  <si>
    <t>Engaged Central Land Council (CLC) as agents for Traditional Owners (TO) and external experts including legal, aviation regulators, athropologists. ecologists and safety professionals to discuss options, processes and plans that achieve a suitable outcome that meets relevant statutory requrements and TO commitments
Presented Sacred Site Clearance Certificate Application (SSCCA) and conducted subsequent presentation and consultation on options during the Traditional Owner Liaison Committee Meeting
Progressed planing for on-ground cultural heriatge site visit with relevant TOs to consider options</t>
  </si>
  <si>
    <r>
      <rPr>
        <vertAlign val="superscript"/>
        <sz val="8"/>
        <color rgb="FF000000"/>
        <rFont val="Arial"/>
      </rPr>
      <t xml:space="preserve">1 </t>
    </r>
    <r>
      <rPr>
        <sz val="8"/>
        <color rgb="FF000000"/>
        <rFont val="Arial"/>
      </rPr>
      <t xml:space="preserve">GRI Standards disclousre 413-2: Operations with significant actual and potential impacts on local communities. Actual and potential impacts are based on social impact assessments performed for each site; Australia omits KCGM site, which was divested in the first quarter of 2020. former Goldcorp sites will be includedin future reporting years. 
</t>
    </r>
    <r>
      <rPr>
        <sz val="8"/>
        <color rgb="FF000000"/>
        <rFont val="Arial"/>
      </rPr>
      <t/>
    </r>
  </si>
  <si>
    <t>2019 Impacts Still Present</t>
  </si>
  <si>
    <r>
      <rPr>
        <b/>
        <sz val="10"/>
        <color rgb="FF000000"/>
        <rFont val="Arial"/>
      </rPr>
      <t>Actual and/or potential community impacts and mitigation responses by site</t>
    </r>
    <r>
      <rPr>
        <b/>
        <vertAlign val="superscript"/>
        <sz val="10"/>
        <color rgb="FF000000"/>
        <rFont val="Arial"/>
      </rPr>
      <t>2</t>
    </r>
  </si>
  <si>
    <t>Sample(s) of management response to mitigate impact #1</t>
  </si>
  <si>
    <t>Impact #2</t>
  </si>
  <si>
    <t>Sample(s) of management response to mitigate impact #2</t>
  </si>
  <si>
    <t>Sample(s) of management response to mitigate impact #3</t>
  </si>
  <si>
    <t>Reduction in local employment opportunities following the completion of the construction phase of the Ahafo Mill Expansion and Subika Underground projects</t>
  </si>
  <si>
    <r>
      <rPr>
        <sz val="10"/>
        <color rgb="FF000000"/>
        <rFont val="Arial"/>
      </rPr>
      <t xml:space="preserve">	•Engage regularly with stakeholders to discuss local employment concerns 
</t>
    </r>
    <r>
      <rPr>
        <sz val="10"/>
        <color rgb="FF000000"/>
        <rFont val="Arial"/>
      </rPr>
      <t xml:space="preserve">	•Support alternative livelihood opportunities such as the Local Economic Diversification Support (LEDS) project
</t>
    </r>
    <r>
      <rPr>
        <sz val="10"/>
        <color rgb="FF000000"/>
        <rFont val="Arial"/>
      </rPr>
      <t xml:space="preserve">	•Engage local contractors and suppliers to identify indirect employment opportunities 
</t>
    </r>
    <r>
      <rPr>
        <sz val="10"/>
        <color rgb="FF000000"/>
        <rFont val="Arial"/>
      </rPr>
      <t/>
    </r>
  </si>
  <si>
    <r>
      <rPr>
        <sz val="10"/>
        <color rgb="FF000000"/>
        <rFont val="Arial"/>
      </rPr>
      <t>Loss of livelihoods related to physical and economic displacement due to the Awonsu and Apensu pit expansion projects and the Subika East waste dump expansion</t>
    </r>
  </si>
  <si>
    <r>
      <rPr>
        <sz val="10"/>
        <color rgb="FF000000"/>
        <rFont val="Arial"/>
      </rPr>
      <t xml:space="preserve">	•Conducted independent study to identify households affected by projects
</t>
    </r>
    <r>
      <rPr>
        <sz val="10"/>
        <color rgb="FF000000"/>
        <rFont val="Arial"/>
      </rPr>
      <t xml:space="preserve">	•Developed a resettlement action plan (RAP) and/or livelihood action plan (LAP) to address the impacts of resettlement
</t>
    </r>
    <r>
      <rPr>
        <sz val="10"/>
        <color rgb="FF000000"/>
        <rFont val="Arial"/>
      </rPr>
      <t xml:space="preserve">	•Formed committee led by community leaders to approve plans for resettlement, payment of adequate compensation and/or establishment of alternative livelihood support</t>
    </r>
  </si>
  <si>
    <t>Population influx due to mining activities resulting in increased pressure on social amenities and social disruptions (e.g., illegal mining, increase in crimes, gender imbalance, alcoholism) within the communities</t>
  </si>
  <si>
    <r>
      <rPr>
        <sz val="10"/>
        <color rgb="FF000000"/>
        <rFont val="Arial"/>
      </rPr>
      <t xml:space="preserve">	•Directly, indirectly and through the Ahafo Development Foundation (NADeF) invest in social infrastructure and services (education, health, water and sanitation)
</t>
    </r>
    <r>
      <rPr>
        <sz val="10"/>
        <color rgb="FF000000"/>
        <rFont val="Arial"/>
      </rPr>
      <t xml:space="preserve">
</t>
    </r>
    <r>
      <rPr>
        <sz val="10"/>
        <color rgb="FF000000"/>
        <rFont val="Arial"/>
      </rPr>
      <t xml:space="preserve">	•Implement Artisanal and Small-Scale Mining (ASM) strategy to address illegal mining incursions</t>
    </r>
  </si>
  <si>
    <r>
      <rPr>
        <sz val="10"/>
        <color rgb="FF000000"/>
        <rFont val="Arial"/>
      </rPr>
      <t>Complaints of building cracks attributed to blasting activities at the mine</t>
    </r>
  </si>
  <si>
    <r>
      <rPr>
        <sz val="10"/>
        <color rgb="FF000000"/>
        <rFont val="Arial"/>
      </rPr>
      <t xml:space="preserve">	•Formed a joint Company-Community-District Assembly committee for engagement and resolution planning
</t>
    </r>
    <r>
      <rPr>
        <sz val="10"/>
        <color rgb="FF000000"/>
        <rFont val="Arial"/>
      </rPr>
      <t xml:space="preserve">	•Categorized complaint as tier 3 to involve legal resolution mechanisms, and agreed to a third-party (regulatory) assessment of cracks for adjudication at the direction of a court of law</t>
    </r>
  </si>
  <si>
    <t>Deprivation of land-based livelihoods</t>
  </si>
  <si>
    <r>
      <rPr>
        <sz val="10"/>
        <color rgb="FF000000"/>
        <rFont val="Arial"/>
      </rPr>
      <t xml:space="preserve">	•Conduct ongoing and regular stakeholder engagement
</t>
    </r>
    <r>
      <rPr>
        <sz val="10"/>
        <color rgb="FF000000"/>
        <rFont val="Arial"/>
      </rPr>
      <t xml:space="preserve">	•Undertook socio-economic assessment, with vulnerability component, to identify individual farmer livelihood needs
</t>
    </r>
    <r>
      <rPr>
        <sz val="10"/>
        <color rgb="FF000000"/>
        <rFont val="Arial"/>
      </rPr>
      <t xml:space="preserve">	•Implemented livelihood intervention plan</t>
    </r>
  </si>
  <si>
    <r>
      <rPr>
        <sz val="10"/>
        <color rgb="FF000000"/>
        <rFont val="Arial"/>
      </rPr>
      <t xml:space="preserve">Damage to farms (flooding) due to exploration activities </t>
    </r>
  </si>
  <si>
    <r>
      <rPr>
        <sz val="10"/>
        <color rgb="FF000000"/>
        <rFont val="Arial"/>
      </rPr>
      <t xml:space="preserve">	•Provide complaints and grievance process for community members to lodge complaints on flooding of farms 
</t>
    </r>
    <r>
      <rPr>
        <sz val="10"/>
        <color rgb="FF000000"/>
        <rFont val="Arial"/>
      </rPr>
      <t xml:space="preserve">	•Provide fair and equitable compensation to those with affected farms </t>
    </r>
  </si>
  <si>
    <r>
      <rPr>
        <b/>
        <sz val="10"/>
        <color rgb="FF000000"/>
        <rFont val="Arial"/>
      </rPr>
      <t>AMERICAS: NORTH</t>
    </r>
    <r>
      <rPr>
        <b/>
        <vertAlign val="superscript"/>
        <sz val="10"/>
        <color rgb="FF000000"/>
        <rFont val="Arial"/>
      </rPr>
      <t>1</t>
    </r>
  </si>
  <si>
    <r>
      <rPr>
        <sz val="10"/>
        <color rgb="FF000000"/>
        <rFont val="Arial"/>
      </rPr>
      <t xml:space="preserve">Complaints associated with the mine’s blasting activities </t>
    </r>
  </si>
  <si>
    <r>
      <rPr>
        <sz val="10"/>
        <color rgb="FF000000"/>
        <rFont val="Arial"/>
      </rPr>
      <t xml:space="preserve">	•Blasting vibration grievance resolution program includes third-party facilitation of claims </t>
    </r>
  </si>
  <si>
    <r>
      <rPr>
        <sz val="10"/>
        <color rgb="FF000000"/>
        <rFont val="Arial"/>
      </rPr>
      <t>Complaints related to noise generated by mining activities (e.g., back-up alarms)</t>
    </r>
  </si>
  <si>
    <t>Provide general complaints and grievance mechanism for community members to lodge concerns</t>
  </si>
  <si>
    <r>
      <rPr>
        <sz val="10"/>
        <color rgb="FF000000"/>
        <rFont val="Arial"/>
      </rPr>
      <t>Local business development issue related to access to public parking near offices in the towns of Cripple Creek and Victor</t>
    </r>
  </si>
  <si>
    <r>
      <rPr>
        <sz val="10"/>
        <color rgb="FF000000"/>
        <rFont val="Arial"/>
      </rPr>
      <t xml:space="preserve">	•Provide general complaints and grievance mechanism for community members to lodge concerns </t>
    </r>
  </si>
  <si>
    <r>
      <rPr>
        <b/>
        <sz val="10"/>
        <color rgb="FF000000"/>
        <rFont val="Arial"/>
      </rPr>
      <t>AMERICAS: SOUTH</t>
    </r>
    <r>
      <rPr>
        <b/>
        <vertAlign val="superscript"/>
        <sz val="10"/>
        <color rgb="FF000000"/>
        <rFont val="Arial"/>
      </rPr>
      <t>1</t>
    </r>
  </si>
  <si>
    <r>
      <rPr>
        <sz val="10"/>
        <color rgb="FF000000"/>
        <rFont val="Arial"/>
      </rPr>
      <t>Complaints related to contractors driving at the junction of Mora Kondre and Kraboe Olo</t>
    </r>
  </si>
  <si>
    <r>
      <rPr>
        <sz val="10"/>
        <color rgb="FF000000"/>
        <rFont val="Arial"/>
      </rPr>
      <t xml:space="preserve">	•Ongoing communications with Newmont’s Health and Safety and Supply Chain departments, the relevant contractors using this road, and the complainants</t>
    </r>
  </si>
  <si>
    <r>
      <rPr>
        <sz val="10"/>
        <color rgb="FF000000"/>
        <rFont val="Arial"/>
      </rPr>
      <t xml:space="preserve">Local supplier concerns regarding procurement for seeds and plants that the suppliers invested time and materials to complete preparation work. </t>
    </r>
  </si>
  <si>
    <r>
      <rPr>
        <sz val="10"/>
        <color rgb="FF000000"/>
        <rFont val="Arial"/>
      </rPr>
      <t xml:space="preserve">	•Ongoing communication between Newmont’s Environmental, Supply Chain and Accounts Payable departments and the local suppliers
</t>
    </r>
    <r>
      <rPr>
        <sz val="10"/>
        <color rgb="FF000000"/>
        <rFont val="Arial"/>
      </rPr>
      <t xml:space="preserve">	•Continued discussions between Newmont and the suppliers on the unit price of the plants</t>
    </r>
  </si>
  <si>
    <r>
      <rPr>
        <sz val="10"/>
        <color rgb="FF000000"/>
        <rFont val="Arial"/>
      </rPr>
      <t>Excessive dust and speeding causing contaminated water and nuisance in communities along the transport route</t>
    </r>
  </si>
  <si>
    <r>
      <rPr>
        <sz val="10"/>
        <color rgb="FF000000"/>
        <rFont val="Arial"/>
      </rPr>
      <t xml:space="preserve">	•Purchased a bigger truck for road wetting, which will be used until a more long-term solution has been implemented</t>
    </r>
  </si>
  <si>
    <r>
      <rPr>
        <sz val="10"/>
        <color rgb="FF000000"/>
        <rFont val="Arial"/>
      </rPr>
      <t>Complaints from the Canal Tual users claiming the water catchment area has been reduced due to mining activities</t>
    </r>
  </si>
  <si>
    <r>
      <rPr>
        <sz val="10"/>
        <color rgb="FF000000"/>
        <rFont val="Arial"/>
      </rPr>
      <t xml:space="preserve">	•Formed a task force led by the Cajamarca Water Authority, the canal users and Yanacocha (2017) 
</t>
    </r>
    <r>
      <rPr>
        <sz val="10"/>
        <color rgb="FF000000"/>
        <rFont val="Arial"/>
      </rPr>
      <t xml:space="preserve">	•Developed the Water Availability Study and Water Use Plan for the Quebrada Pampa Larga Hydrographic Unit (2018)
</t>
    </r>
    <r>
      <rPr>
        <sz val="10"/>
        <color rgb="FF000000"/>
        <rFont val="Arial"/>
      </rPr>
      <t xml:space="preserve">	•Installed a roundtable for dialogue and negotiations with Canal Tual users to determine the volume of water affected, and the environmental and social mitigation measures needed (2019)</t>
    </r>
  </si>
  <si>
    <r>
      <rPr>
        <sz val="10"/>
        <color rgb="FF000000"/>
        <rFont val="Arial"/>
      </rPr>
      <t xml:space="preserve">Complaints from Canal Azufre Ventanillas users claiming decreased water and the disappearance of water sources due to Yanacocha's operations (Chaquicocha, Carachugo) </t>
    </r>
  </si>
  <si>
    <r>
      <rPr>
        <sz val="10"/>
        <color rgb="FF000000"/>
        <rFont val="Arial"/>
      </rPr>
      <t xml:space="preserve">	•Formed a task force led by the Management of Environment and Natural Resources (RENAMA) of the Regional Government of Cajamarca, the Cajamarca Water Authority (ALA/ANA), the canal committee, Azufre river basin users and Yanacocha
</t>
    </r>
    <r>
      <rPr>
        <sz val="10"/>
        <color rgb="FF000000"/>
        <rFont val="Arial"/>
      </rPr>
      <t xml:space="preserve">	•Proposed the Azufre river sub-basin, a water reservoir, as a water management alternative 
</t>
    </r>
    <r>
      <rPr>
        <sz val="10"/>
        <color rgb="FF000000"/>
        <rFont val="Arial"/>
      </rPr>
      <t xml:space="preserve">	•Signed an inter-institutional agreement in July 2019 for the preparation of the technical profile of the project for a reservoir on the Azufre river (process under way)</t>
    </r>
  </si>
  <si>
    <r>
      <rPr>
        <sz val="10"/>
        <color rgb="FF000000"/>
        <rFont val="Arial"/>
      </rPr>
      <t>Complaints regarding turbidity in the El Chorro spring water that supplies the drinking water system (SAP) of the Totorococha farmhouse and claims that the turbidity was caused by drilling related to the China Linda quarry hydrogeological study</t>
    </r>
  </si>
  <si>
    <r>
      <rPr>
        <sz val="10"/>
        <color rgb="FF000000"/>
        <rFont val="Arial"/>
      </rPr>
      <t xml:space="preserve">	•Established a commission that includes the Office of Social Management of the Ministry of Energy and Mines-Cajamarca, Sub-Prefecture of Bambamarca, water users and Yanacocha
</t>
    </r>
    <r>
      <rPr>
        <sz val="10"/>
        <color rgb="FF000000"/>
        <rFont val="Arial"/>
      </rPr>
      <t xml:space="preserve">	•Reached agreement to recognize the social discomfort of 80 SAP users, improve and extend the SAP, and prepare both a technical study for the biodigester project and a technical profile for the improvement of a 4 kilometer road </t>
    </r>
  </si>
  <si>
    <r>
      <rPr>
        <sz val="10"/>
        <color rgb="FF000000"/>
        <rFont val="Arial"/>
      </rPr>
      <t>Local employment</t>
    </r>
  </si>
  <si>
    <r>
      <rPr>
        <sz val="10"/>
        <color rgb="FF000000"/>
        <rFont val="Arial"/>
      </rPr>
      <t xml:space="preserve">	•Locally advertise positions and encourage suppliers/business partners to recruit local people through criteria in tenders, employment pathways specific to local Indigenous people and the availability of scholarships through tertiary institutions</t>
    </r>
  </si>
  <si>
    <r>
      <rPr>
        <sz val="10"/>
        <color rgb="FF000000"/>
        <rFont val="Arial"/>
      </rPr>
      <t xml:space="preserve">A negative perception that the operation is maintaining its mining camp accommodations and encouraging drive-in, drive-out (DIDO) workers rather than supporting local economic growth through hiring from the local community </t>
    </r>
  </si>
  <si>
    <r>
      <rPr>
        <sz val="10"/>
        <color rgb="FF000000"/>
        <rFont val="Arial"/>
      </rPr>
      <t xml:space="preserve">	•Engage in ongoing dialogue with the communities on Newmont’s policies supporting local residency by workers
</t>
    </r>
    <r>
      <rPr>
        <sz val="10"/>
        <color rgb="FF000000"/>
        <rFont val="Arial"/>
      </rPr>
      <t xml:space="preserve">	•Facilitate opportunities for greater interaction between the camp workforce and the community</t>
    </r>
  </si>
  <si>
    <r>
      <rPr>
        <sz val="10"/>
        <color rgb="FF000000"/>
        <rFont val="Arial"/>
      </rPr>
      <t>Traffic concerns related to the vehicle and truck movements through Boddington and the surrounding area</t>
    </r>
  </si>
  <si>
    <r>
      <rPr>
        <sz val="10"/>
        <color rgb="FF000000"/>
        <rFont val="Arial"/>
      </rPr>
      <t xml:space="preserve">
</t>
    </r>
    <r>
      <rPr>
        <sz val="10"/>
        <color rgb="FF000000"/>
        <rFont val="Arial"/>
      </rPr>
      <t xml:space="preserve">
</t>
    </r>
    <r>
      <rPr>
        <sz val="10"/>
        <color rgb="FF000000"/>
        <rFont val="Arial"/>
      </rPr>
      <t xml:space="preserve">	•Serve as a member of the Industry Road Safety Alliance South West
</t>
    </r>
    <r>
      <rPr>
        <sz val="10"/>
        <color rgb="FF000000"/>
        <rFont val="Arial"/>
      </rPr>
      <t xml:space="preserve">	•Implement curfews for transporting copper concentrate to reduce trucking during sensitive times of the day (e.g., end of school day)
</t>
    </r>
    <r>
      <rPr>
        <sz val="12"/>
        <color rgb="FF000000"/>
        <rFont val="Arial"/>
      </rPr>
      <t/>
    </r>
  </si>
  <si>
    <r>
      <rPr>
        <sz val="10"/>
        <color rgb="FF000000"/>
        <rFont val="Arial"/>
      </rPr>
      <t xml:space="preserve">	•Co-funding regional biodiversity monitoring program (RBM) to conduct independent data reviews in collaboration with the Central Land Council (CLC)
</t>
    </r>
    <r>
      <rPr>
        <sz val="10"/>
        <color rgb="FF000000"/>
        <rFont val="Arial"/>
      </rPr>
      <t xml:space="preserve">	•Engaged the University of Queensland Centre for Social Responsibility in Mining (CSRM) on a scoping study related to Indigenous groups land rehabilitation and mine closure 
</t>
    </r>
    <r>
      <rPr>
        <sz val="10"/>
        <color rgb="FF000000"/>
        <rFont val="Arial"/>
      </rPr>
      <t xml:space="preserve">	•Participated in and contributed to RBM stakeholders planning workshop, and committed to expanding the partnership and supporting an independent-facilitated workshop in 2020
</t>
    </r>
    <r>
      <rPr>
        <sz val="10"/>
        <color rgb="FF000000"/>
        <rFont val="Arial"/>
      </rPr>
      <t xml:space="preserve">	•Provided input on a consulting scoping project (to be conducted by Social Ventures Australia, which was engaged by the CLC) to identify and analyse market opportunities for expanding the ranger program’s fee-for-service work</t>
    </r>
  </si>
  <si>
    <r>
      <rPr>
        <vertAlign val="superscript"/>
        <sz val="10"/>
        <color rgb="FF000000"/>
        <rFont val="Arial"/>
      </rPr>
      <t xml:space="preserve">1 </t>
    </r>
    <r>
      <rPr>
        <sz val="10"/>
        <color rgb="FF000000"/>
        <rFont val="Arial"/>
      </rPr>
      <t xml:space="preserve">Former Goldcorp sites were not reported in 2019.
</t>
    </r>
    <r>
      <rPr>
        <vertAlign val="superscript"/>
        <sz val="10"/>
        <color rgb="FF000000"/>
        <rFont val="Arial"/>
      </rPr>
      <t>2</t>
    </r>
    <r>
      <rPr>
        <vertAlign val="superscript"/>
        <sz val="10"/>
        <color rgb="FF000000"/>
        <rFont val="Arial"/>
      </rPr>
      <t xml:space="preserve"> </t>
    </r>
    <r>
      <rPr>
        <sz val="10"/>
        <color rgb="FF000000"/>
        <rFont val="Arial"/>
      </rPr>
      <t xml:space="preserve">GRI Standards disclousre 413-2: Operations with significant actual and potential impacts on local communities. Actual and potential impacts are based on social impact assessments performed for each site; Australia omits KCGM site, which was divested in the first quarter of 2020. former Goldcorp sites will be includedin future reporting years. 
</t>
    </r>
    <r>
      <rPr>
        <vertAlign val="superscript"/>
        <sz val="10"/>
        <color rgb="FF000000"/>
        <rFont val="Arial"/>
      </rPr>
      <t/>
    </r>
  </si>
  <si>
    <t xml:space="preserve">SOCIAL: COMPLAINTS AND GRIEVANCES </t>
  </si>
  <si>
    <t>Former NEM</t>
  </si>
  <si>
    <t>Former GG</t>
  </si>
  <si>
    <r>
      <rPr>
        <b/>
        <sz val="10"/>
        <color rgb="FF000000"/>
        <rFont val="Arial"/>
      </rPr>
      <t>No. received</t>
    </r>
    <r>
      <rPr>
        <b/>
        <vertAlign val="superscript"/>
        <sz val="10"/>
        <color rgb="FF000000"/>
        <rFont val="Arial"/>
      </rPr>
      <t>2</t>
    </r>
  </si>
  <si>
    <t>% of total by category</t>
  </si>
  <si>
    <t>Access to vital resources (i.e. water, land)</t>
  </si>
  <si>
    <t>Affects relationship with key stakeholder</t>
  </si>
  <si>
    <t>No. received</t>
  </si>
  <si>
    <t>% resolved within 30 days</t>
  </si>
  <si>
    <t>Lack of engagement and Consultation</t>
  </si>
  <si>
    <t>Land use and/or access to traditional lands affected</t>
  </si>
  <si>
    <t>Loss of jobs/income</t>
  </si>
  <si>
    <t>Loss of Personal Security</t>
  </si>
  <si>
    <t>Personal Property</t>
  </si>
  <si>
    <t>Soil contamination</t>
  </si>
  <si>
    <t>Noise, vibration and air quality/dust</t>
  </si>
  <si>
    <t>Business partners (contractors)</t>
  </si>
  <si>
    <t>Compensation practices</t>
  </si>
  <si>
    <t>Other (miscellaneous)</t>
  </si>
  <si>
    <t>Land access</t>
  </si>
  <si>
    <t>Consultation and access to information</t>
  </si>
  <si>
    <t>Blast events</t>
  </si>
  <si>
    <t>Employment</t>
  </si>
  <si>
    <t>Infrastructure improvement</t>
  </si>
  <si>
    <t>Local business development</t>
  </si>
  <si>
    <t>Property damage</t>
  </si>
  <si>
    <t>Community investment</t>
  </si>
  <si>
    <t>Livelihoods/living conditions and wellbeing</t>
  </si>
  <si>
    <t>Workforce behavior</t>
  </si>
  <si>
    <t>Resettlement</t>
  </si>
  <si>
    <t>Environment</t>
  </si>
  <si>
    <r>
      <rPr>
        <vertAlign val="superscript"/>
        <sz val="8"/>
        <color rgb="FF000000"/>
        <rFont val="Arial"/>
      </rPr>
      <t>1</t>
    </r>
    <r>
      <rPr>
        <sz val="8"/>
        <color rgb="FF000000"/>
        <rFont val="Arial"/>
      </rPr>
      <t xml:space="preserve"> </t>
    </r>
    <r>
      <rPr>
        <sz val="8"/>
        <color rgb="FF000000"/>
        <rFont val="Arial"/>
      </rPr>
      <t xml:space="preserve">Tracking of the percent of complaints resolved within 30 days is expected to be available at former Goldcorp sites later in 2021.
</t>
    </r>
    <r>
      <rPr>
        <vertAlign val="superscript"/>
        <sz val="8"/>
        <color rgb="FF000000"/>
        <rFont val="Arial"/>
      </rPr>
      <t xml:space="preserve">2 </t>
    </r>
    <r>
      <rPr>
        <sz val="8"/>
        <color rgb="FF000000"/>
        <rFont val="Arial"/>
      </rPr>
      <t>GRI Standards disclosure GRI 102-44: Stakeholder key topics and concerns raised.</t>
    </r>
    <r>
      <rPr>
        <sz val="8"/>
        <color rgb="FF000000"/>
        <rFont val="Arial"/>
      </rPr>
      <t xml:space="preserve">  
</t>
    </r>
    <r>
      <rPr>
        <sz val="8"/>
        <color rgb="FF000000"/>
        <rFont val="Arial"/>
      </rPr>
      <t/>
    </r>
  </si>
  <si>
    <t>Media request or attention</t>
  </si>
  <si>
    <t>Accounts payable</t>
  </si>
  <si>
    <t>Procurement practices</t>
  </si>
  <si>
    <t>Training</t>
  </si>
  <si>
    <t>Transport</t>
  </si>
  <si>
    <t>Government payments or financial regulations</t>
  </si>
  <si>
    <t>Community events</t>
  </si>
  <si>
    <t>Health and safety</t>
  </si>
  <si>
    <t>Industry engagement</t>
  </si>
  <si>
    <t>Small-scale mining</t>
  </si>
  <si>
    <r>
      <rPr>
        <vertAlign val="superscript"/>
        <sz val="8"/>
        <color rgb="FF000000"/>
        <rFont val="Arial"/>
      </rPr>
      <t>1</t>
    </r>
    <r>
      <rPr>
        <sz val="8"/>
        <color rgb="FF000000"/>
        <rFont val="Arial"/>
      </rPr>
      <t xml:space="preserve"> </t>
    </r>
    <r>
      <rPr>
        <sz val="8"/>
        <color rgb="FF000000"/>
        <rFont val="Arial"/>
      </rPr>
      <t xml:space="preserve">Data reflects the combined reasons for complaints and grievances for Newmont sites and former Goldcorp sites.
</t>
    </r>
    <r>
      <rPr>
        <vertAlign val="superscript"/>
        <sz val="8"/>
        <color rgb="FF000000"/>
        <rFont val="Arial"/>
      </rPr>
      <t xml:space="preserve">2 </t>
    </r>
    <r>
      <rPr>
        <vertAlign val="superscript"/>
        <sz val="8"/>
        <color rgb="FF000000"/>
        <rFont val="Arial"/>
      </rPr>
      <t xml:space="preserve"> </t>
    </r>
    <r>
      <rPr>
        <sz val="8"/>
        <color rgb="FF000000"/>
        <rFont val="Arial"/>
      </rPr>
      <t>A single complaint or grievance may have multiple categories</t>
    </r>
    <r>
      <rPr>
        <sz val="8"/>
        <color rgb="FF000000"/>
        <rFont val="Arial"/>
      </rPr>
      <t xml:space="preserve">.
</t>
    </r>
    <r>
      <rPr>
        <vertAlign val="superscript"/>
        <sz val="8"/>
        <color rgb="FF000000"/>
        <rFont val="Arial"/>
      </rPr>
      <t>3</t>
    </r>
    <r>
      <rPr>
        <sz val="8"/>
        <color rgb="FF000000"/>
        <rFont val="Arial"/>
      </rPr>
      <t xml:space="preserve"> </t>
    </r>
    <r>
      <rPr>
        <sz val="8"/>
        <color rgb="FF000000"/>
        <rFont val="Arial"/>
      </rPr>
      <t>GRI Standards disclosure GRI 102-44: Stakeholder key topics and concerns raised.</t>
    </r>
    <r>
      <rPr>
        <sz val="8"/>
        <color rgb="FF000000"/>
        <rFont val="Arial"/>
      </rPr>
      <t xml:space="preserve"> </t>
    </r>
  </si>
  <si>
    <t xml:space="preserve">SOCIAL: HUMAN RIGHTS: ASSESSMENTS AND/OR REVIEWS </t>
  </si>
  <si>
    <t>Country/Site</t>
  </si>
  <si>
    <t>Human rights assessment or review occurring 2017-2020</t>
  </si>
  <si>
    <t>Assessment summary and context</t>
  </si>
  <si>
    <t>Human Rights Baseline and Impact Assessment Study for the proposed Ahafo North project</t>
  </si>
  <si>
    <t>Newmont risk assessment process that incorporates human rights on an ongoing basis</t>
  </si>
  <si>
    <t xml:space="preserve">All-Ghana locations </t>
  </si>
  <si>
    <t>Audits initiated for two suppliers</t>
  </si>
  <si>
    <t>Desktop human rights risk assessment. Step 1: review of existing risks to determine their potential impact on human rights. Confirmation that controls were accurate if there were human rights risks identified. Step 2: identification of any additional human rights risks and necessary controls to be added to the risk register.</t>
  </si>
  <si>
    <t>Forthcoming</t>
  </si>
  <si>
    <t>Former Goldcorp site will be incorporating human rights into SIA during update process in 2022</t>
  </si>
  <si>
    <t>Former Goldcorp site will be incorporating human rights into SIA during update process in 2021</t>
  </si>
  <si>
    <t>Marlin</t>
  </si>
  <si>
    <t>Marlin Mine Closure: A Review of Goldcorp Commitments to the 2010 Human Rights Assessment</t>
  </si>
  <si>
    <t>Former Goldcorp site incorporated human rights into social baseline and impact assessment in 2020</t>
  </si>
  <si>
    <t xml:space="preserve">Merian </t>
  </si>
  <si>
    <t>Merian's cross-functional Human Rights Working Group refined the site's human rights action plan and undertook an assessment to determine the most salient human rights risks for the region</t>
  </si>
  <si>
    <t>Human Rights Impact Assessment</t>
  </si>
  <si>
    <t>Sabajo</t>
  </si>
  <si>
    <t xml:space="preserve">Human rights integrated into the public Environmental and Social Impact Assessment </t>
  </si>
  <si>
    <t>Peru - all locations</t>
  </si>
  <si>
    <t>Human Rights Risk Assessment of new security system</t>
  </si>
  <si>
    <t xml:space="preserve">Yanacocha </t>
  </si>
  <si>
    <t>Australia - all locations</t>
  </si>
  <si>
    <t>Audit initiated for one supplier</t>
  </si>
  <si>
    <t>Percentage coverage:</t>
  </si>
  <si>
    <r>
      <rPr>
        <vertAlign val="superscript"/>
        <sz val="8"/>
        <color rgb="FF000000"/>
        <rFont val="Arial"/>
      </rPr>
      <t xml:space="preserve">1 </t>
    </r>
    <r>
      <rPr>
        <vertAlign val="superscript"/>
        <sz val="8"/>
        <color rgb="FF000000"/>
        <rFont val="Arial"/>
      </rPr>
      <t xml:space="preserve"> </t>
    </r>
    <r>
      <rPr>
        <sz val="8"/>
        <color rgb="FF000000"/>
        <rFont val="Arial"/>
      </rPr>
      <t xml:space="preserve">All former Newmont sites conduct human rights assessments on an ongoing basis as part of Newmont’s established risk assessment process. </t>
    </r>
    <r>
      <rPr>
        <sz val="8"/>
        <color rgb="FF000000"/>
        <rFont val="Arial"/>
      </rPr>
      <t>I</t>
    </r>
    <r>
      <rPr>
        <sz val="8"/>
        <color rgb="FF000000"/>
        <rFont val="Arial"/>
      </rPr>
      <t xml:space="preserve">n addition to ongoing risk assessments that include human rights aspects, standalone and/or integrated assessments specific to human rights issues occurred in Ghana, Guatemala, Suriname and Peru, assessments for each country are summarized in the table above. Former Goldcorp sites are addressing gaps to become fully compliant with Newmont’s standards (including on human rights assessments). 
</t>
    </r>
    <r>
      <rPr>
        <vertAlign val="superscript"/>
        <sz val="8"/>
        <color rgb="FF000000"/>
        <rFont val="Arial"/>
      </rPr>
      <t>2</t>
    </r>
    <r>
      <rPr>
        <sz val="8"/>
        <color rgb="FF000000"/>
        <rFont val="Arial"/>
      </rPr>
      <t xml:space="preserve"> </t>
    </r>
    <r>
      <rPr>
        <sz val="8"/>
        <color rgb="FF000000"/>
        <rFont val="Arial"/>
      </rPr>
      <t>GRI Standards disclosures GRI 412-1: Operations that have been subject to human rights reviews or impact assessments.</t>
    </r>
  </si>
  <si>
    <t>SOCIAL: HUMAN RIGHTS: SUPPLIER SCREENING AND TRAINING</t>
  </si>
  <si>
    <t>New supplier human rights screenings</t>
  </si>
  <si>
    <t>No. new suppliers</t>
  </si>
  <si>
    <r>
      <rPr>
        <b/>
        <sz val="10"/>
        <color rgb="FF000000"/>
        <rFont val="Arial"/>
      </rPr>
      <t>No. new suppliers screened for human rights risks</t>
    </r>
    <r>
      <rPr>
        <b/>
        <vertAlign val="superscript"/>
        <sz val="10"/>
        <color rgb="FF000000"/>
        <rFont val="Arial"/>
      </rPr>
      <t>2</t>
    </r>
  </si>
  <si>
    <t xml:space="preserve">% of new suppliers screened for human rights </t>
  </si>
  <si>
    <r>
      <rPr>
        <b/>
        <sz val="10"/>
        <color rgb="FF000000"/>
        <rFont val="Arial"/>
      </rPr>
      <t>No. of suppliers identified through the automated pre-qualification process as having human rights risks</t>
    </r>
    <r>
      <rPr>
        <b/>
        <vertAlign val="superscript"/>
        <sz val="10"/>
        <color rgb="FF000000"/>
        <rFont val="Arial"/>
      </rPr>
      <t>1</t>
    </r>
  </si>
  <si>
    <r>
      <rPr>
        <vertAlign val="superscript"/>
        <sz val="8"/>
        <color rgb="FF000000"/>
        <rFont val="Arial"/>
      </rPr>
      <t>1</t>
    </r>
    <r>
      <rPr>
        <sz val="8"/>
        <color rgb="FF000000"/>
        <rFont val="Arial"/>
      </rPr>
      <t xml:space="preserve"> We pre-screened all new suppliers in Australia, Ghana and Peru and at the corporate level against human rights criteria.</t>
    </r>
    <r>
      <rPr>
        <sz val="8"/>
        <color rgb="FF000000"/>
        <rFont val="Arial"/>
      </rPr>
      <t xml:space="preserve"> </t>
    </r>
    <r>
      <rPr>
        <sz val="8"/>
        <color rgb="FF000000"/>
        <rFont val="Arial"/>
      </rPr>
      <t xml:space="preserve">The automated pre-qualification system often flags too many suppliers as high or extreme risk. This number is validated with sites and often decreased based on a more nuanced understanding of the supplier's risk level. Sites that are not within the scope of the supplier risk assessment program (SRiM) are: U.S. CC&amp;V; Canada sites; Mexico, Argentina and Suriname.  
</t>
    </r>
    <r>
      <rPr>
        <vertAlign val="superscript"/>
        <sz val="8"/>
        <color rgb="FF000000"/>
        <rFont val="Arial"/>
      </rPr>
      <t>2</t>
    </r>
    <r>
      <rPr>
        <sz val="8"/>
        <color rgb="FF000000"/>
        <rFont val="Arial"/>
      </rPr>
      <t xml:space="preserve"> The difference between new suppliers and suppliers screened reflects those suppliers whose pre-qualification questionnaires are outstanding.    
</t>
    </r>
    <r>
      <rPr>
        <vertAlign val="superscript"/>
        <sz val="8"/>
        <color rgb="FF000000"/>
        <rFont val="Arial"/>
      </rPr>
      <t>3</t>
    </r>
    <r>
      <rPr>
        <sz val="8"/>
        <color rgb="FF000000"/>
        <rFont val="Arial"/>
      </rPr>
      <t xml:space="preserve"> GRI 412-1: Operations that have been subject to human rights reviews or impact assessments.
</t>
    </r>
    <r>
      <rPr>
        <sz val="8"/>
        <color rgb="FF000000"/>
        <rFont val="Arial"/>
      </rPr>
      <t xml:space="preserve">
</t>
    </r>
    <r>
      <rPr>
        <sz val="8"/>
        <color rgb="FF000000"/>
        <rFont val="Arial"/>
      </rPr>
      <t/>
    </r>
  </si>
  <si>
    <t xml:space="preserve">SOCIAL: HUMAN RIGHTS: SECURITY PERSONNEL TRAINING </t>
  </si>
  <si>
    <t>Session details</t>
  </si>
  <si>
    <t>Total number of participants in security training</t>
  </si>
  <si>
    <t>No. of sessions conducted</t>
  </si>
  <si>
    <t>Total duration of all sessions (hours)</t>
  </si>
  <si>
    <t>No. of employees trained</t>
  </si>
  <si>
    <t>No. of public security/law enforcement personnel trained</t>
  </si>
  <si>
    <t>No. of private security contractors trained</t>
  </si>
  <si>
    <r>
      <rPr>
        <b/>
        <sz val="10"/>
        <color rgb="FF000000"/>
        <rFont val="Arial"/>
      </rPr>
      <t>Other external stakeholders trained</t>
    </r>
    <r>
      <rPr>
        <b/>
        <vertAlign val="superscript"/>
        <sz val="10"/>
        <color rgb="FF000000"/>
        <rFont val="Arial"/>
      </rPr>
      <t>2</t>
    </r>
  </si>
  <si>
    <t>Percentage of Newmont security personnel trained</t>
  </si>
  <si>
    <t>Accra</t>
  </si>
  <si>
    <r>
      <rPr>
        <b/>
        <sz val="10"/>
        <color rgb="FF000000"/>
        <rFont val="Arial"/>
      </rPr>
      <t>Canada</t>
    </r>
    <r>
      <rPr>
        <b/>
        <vertAlign val="superscript"/>
        <sz val="10"/>
        <color rgb="FF000000"/>
        <rFont val="Arial"/>
      </rPr>
      <t>3</t>
    </r>
  </si>
  <si>
    <t>Self-guided</t>
  </si>
  <si>
    <t>Honduras</t>
  </si>
  <si>
    <t>San Martin</t>
  </si>
  <si>
    <r>
      <rPr>
        <vertAlign val="superscript"/>
        <sz val="8"/>
        <color rgb="FF000000"/>
        <rFont val="Arial"/>
      </rPr>
      <t>1</t>
    </r>
    <r>
      <rPr>
        <sz val="8"/>
        <color rgb="FF000000"/>
        <rFont val="Arial"/>
      </rPr>
      <t xml:space="preserve"> </t>
    </r>
    <r>
      <rPr>
        <sz val="8"/>
        <color rgb="FF000000"/>
        <rFont val="Arial"/>
      </rPr>
      <t xml:space="preserve">Security training did not take place in 2020 in Australia; these data are omitted from the table
</t>
    </r>
    <r>
      <rPr>
        <vertAlign val="superscript"/>
        <sz val="8"/>
        <color rgb="FF000000"/>
        <rFont val="Arial"/>
      </rPr>
      <t>2</t>
    </r>
    <r>
      <rPr>
        <sz val="8"/>
        <color rgb="FF000000"/>
        <rFont val="Arial"/>
      </rPr>
      <t xml:space="preserve"> </t>
    </r>
    <r>
      <rPr>
        <sz val="8"/>
        <color rgb="FF000000"/>
        <rFont val="Arial"/>
      </rPr>
      <t xml:space="preserve">Due to COVID restrictions external stakeholder engagement events were canceled or significantly curtailed.
</t>
    </r>
    <r>
      <rPr>
        <vertAlign val="superscript"/>
        <sz val="8"/>
        <color rgb="FF000000"/>
        <rFont val="Arial"/>
      </rPr>
      <t xml:space="preserve">3 </t>
    </r>
    <r>
      <rPr>
        <vertAlign val="superscript"/>
        <sz val="8"/>
        <color rgb="FF000000"/>
        <rFont val="Arial"/>
      </rPr>
      <t xml:space="preserve"> </t>
    </r>
    <r>
      <rPr>
        <sz val="8"/>
        <color rgb="FF000000"/>
        <rFont val="Arial"/>
      </rPr>
      <t xml:space="preserve">Training for security in Canada was online and self guided so we do not have figures for the numbers of sessions conducted.
</t>
    </r>
    <r>
      <rPr>
        <vertAlign val="superscript"/>
        <sz val="8"/>
        <color rgb="FF000000"/>
        <rFont val="Arial"/>
      </rPr>
      <t>4</t>
    </r>
    <r>
      <rPr>
        <sz val="8"/>
        <color rgb="FF000000"/>
        <rFont val="Arial"/>
      </rPr>
      <t xml:space="preserve"> </t>
    </r>
    <r>
      <rPr>
        <sz val="8"/>
        <color rgb="FF000000"/>
        <rFont val="Arial"/>
      </rPr>
      <t xml:space="preserve">GRI Standards disclosure GRI 410-1: Security personnel trained in human rights policies or procedures. </t>
    </r>
  </si>
  <si>
    <t>SOCIAL: HUMAN RIGHTS: WORKFORCE TRAINING</t>
  </si>
  <si>
    <t>Human rights training courses delivered in 2020</t>
  </si>
  <si>
    <t>Total hours trained at site</t>
  </si>
  <si>
    <t>Internal or external trainer(s) delivered course(s)</t>
  </si>
  <si>
    <r>
      <rPr>
        <b/>
        <sz val="10"/>
        <color rgb="FF000000"/>
        <rFont val="Arial"/>
      </rPr>
      <t>No. employees trained</t>
    </r>
    <r>
      <rPr>
        <b/>
        <vertAlign val="superscript"/>
        <sz val="10"/>
        <color rgb="FF000000"/>
        <rFont val="Arial"/>
      </rPr>
      <t>1</t>
    </r>
  </si>
  <si>
    <r>
      <rPr>
        <b/>
        <sz val="10"/>
        <color rgb="FF000000"/>
        <rFont val="Arial"/>
      </rPr>
      <t>No. suppliers trained</t>
    </r>
    <r>
      <rPr>
        <b/>
        <vertAlign val="superscript"/>
        <sz val="10"/>
        <color rgb="FF000000"/>
        <rFont val="Arial"/>
      </rPr>
      <t>2</t>
    </r>
  </si>
  <si>
    <t>Total no. workforce trained</t>
  </si>
  <si>
    <t>Internal</t>
  </si>
  <si>
    <t>Not reported</t>
  </si>
  <si>
    <t>External</t>
  </si>
  <si>
    <t>SOCIAL: HUMAN RIGHTS - INDIGENOUS PEOPLES</t>
  </si>
  <si>
    <t>Formal Agreement?</t>
  </si>
  <si>
    <t>Boddington (Australia)</t>
  </si>
  <si>
    <t>Gnaala Karla Booja</t>
  </si>
  <si>
    <t>Tanami (Australia)</t>
  </si>
  <si>
    <t>Warlpiri</t>
  </si>
  <si>
    <t>Éléonore (Canada)</t>
  </si>
  <si>
    <t>Cree Nation of Wemindj</t>
  </si>
  <si>
    <t>Grand Council of the Crees (Eeyou Iscthee)/Cree Nation Government</t>
  </si>
  <si>
    <t>Musselwhite (Canada)</t>
  </si>
  <si>
    <t>North Caribou Lake First Nation</t>
  </si>
  <si>
    <t>Cat Lake First Nation</t>
  </si>
  <si>
    <t>Wunnumin Lake First Nation</t>
  </si>
  <si>
    <t>Kingfisher Lake First Nation</t>
  </si>
  <si>
    <t>Windigo First Nation Council</t>
  </si>
  <si>
    <t>Shibogama First Nation Council</t>
  </si>
  <si>
    <t>Mishkeegogamang First Nation</t>
  </si>
  <si>
    <t>Porcupine - Chapleau (Canada)</t>
  </si>
  <si>
    <t>Chapleau Cree First Nation</t>
  </si>
  <si>
    <t>Brunswick House First Nation</t>
  </si>
  <si>
    <t>Chapleau Ojibwe First Nation</t>
  </si>
  <si>
    <t>Michipicoten First Nation</t>
  </si>
  <si>
    <t>Porcupine - Timmins (Canada)</t>
  </si>
  <si>
    <t>Mattagami First Nation</t>
  </si>
  <si>
    <t>Matachewan First Nation</t>
  </si>
  <si>
    <t>Flying Post First Nation</t>
  </si>
  <si>
    <t>Wahgoshig First Nation</t>
  </si>
  <si>
    <t>Metis Nation of Ontario</t>
  </si>
  <si>
    <t>Merian (Suriname)</t>
  </si>
  <si>
    <t>Pamaka Maroon Tribe of the Marowijne River</t>
  </si>
  <si>
    <t>Merian / Sabajo project (Suriname)</t>
  </si>
  <si>
    <t>Kawina Maroon Tribe</t>
  </si>
  <si>
    <t>In process</t>
  </si>
  <si>
    <t>SOCIAL: LAND OR RESOURCE USE DISPUTES</t>
  </si>
  <si>
    <t>Number of significant land use disputes in 2020</t>
  </si>
  <si>
    <t>No. disputes addressed through complaints and grievances resolution process</t>
  </si>
  <si>
    <t>If applicable, summary of significant disputes, actions taken, and outcomes</t>
  </si>
  <si>
    <t>A small group of farmers disputed Newmont’s exploration activities in the mine's Apensu area, which Newmont acquired in the 2004-2005 timeframe. According to the farmers, they were not compensated for their farms. Some farmers are also requesting that the court require the Company to compensate them for depriving them from using the land from 2004 to date. The claims are currently under legal review.</t>
  </si>
  <si>
    <r>
      <rPr>
        <vertAlign val="superscript"/>
        <sz val="8"/>
        <color rgb="FF000000"/>
        <rFont val="Arial"/>
      </rPr>
      <t xml:space="preserve">1 </t>
    </r>
    <r>
      <rPr>
        <vertAlign val="superscript"/>
        <sz val="8"/>
        <color rgb="FF000000"/>
        <rFont val="Arial"/>
      </rPr>
      <t xml:space="preserve"> </t>
    </r>
    <r>
      <rPr>
        <sz val="8"/>
        <color rgb="FF000000"/>
        <rFont val="Arial"/>
      </rPr>
      <t xml:space="preserve">Significant impacts are those that have had an impact on our ability to operate commensurate with a Level 3+ event in the Newmont Risk Matrix. Land disputes may be associated with current, planned or proposed future site operations.
</t>
    </r>
    <r>
      <rPr>
        <vertAlign val="superscript"/>
        <sz val="8"/>
        <color rgb="FF000000"/>
        <rFont val="Arial"/>
      </rPr>
      <t>2</t>
    </r>
    <r>
      <rPr>
        <vertAlign val="superscript"/>
        <sz val="8"/>
        <color rgb="FF000000"/>
        <rFont val="Arial"/>
      </rPr>
      <t xml:space="preserve"> </t>
    </r>
    <r>
      <rPr>
        <vertAlign val="superscript"/>
        <sz val="8"/>
        <color rgb="FF000000"/>
        <rFont val="Arial"/>
      </rPr>
      <t xml:space="preserve"> </t>
    </r>
    <r>
      <rPr>
        <sz val="8"/>
        <color rgb="FF000000"/>
        <rFont val="Arial"/>
      </rPr>
      <t>GRI Metals &amp; Mining Sector Supplement disclosure MM6: Number and description of significant disputes relating to land use, customary rights of local communities and indigenous peoples; and GRI MM7: The extent to which grievance mechanisms were used to resolve disputes relating to land use, customary rights of local communities and indigenous peoples and the outcomes. Supports SASB Metals and Mining Sustainability Accounting Standard EM-MM-210b.1: Discussion of process to manage risks and opportunities associated with community rights and interests.</t>
    </r>
    <r>
      <rPr>
        <sz val="8"/>
        <color rgb="FF000000"/>
        <rFont val="Arial"/>
      </rPr>
      <t xml:space="preserve"> </t>
    </r>
  </si>
  <si>
    <t>SOCIAL: RESETTLEMENT AND/OR RELOCATION ACTIVITY</t>
  </si>
  <si>
    <t>Resettlement and/or relocation activity occured in 2020</t>
  </si>
  <si>
    <t>No. households resettled and/or relocated</t>
  </si>
  <si>
    <r>
      <rPr>
        <vertAlign val="superscript"/>
        <sz val="8"/>
        <color rgb="FF000000"/>
        <rFont val="Arial"/>
      </rPr>
      <t xml:space="preserve">1 </t>
    </r>
    <r>
      <rPr>
        <vertAlign val="superscript"/>
        <sz val="8"/>
        <color rgb="FF000000"/>
        <rFont val="Arial"/>
      </rPr>
      <t xml:space="preserve"> </t>
    </r>
    <r>
      <rPr>
        <sz val="8"/>
        <color rgb="FF000000"/>
        <rFont val="Arial"/>
      </rPr>
      <t>Reference the resettlement and land use section of the 2019 Beyond the Mine report for a detailed discussion of the Ahafo resettlement activities with the nearby Dokyikrom community. Twenty-five households were given relocation under the Subika East Waste Dump Expansion (SEWDE) project, which was a directive from the Minister of Lands and Natural Resource</t>
    </r>
    <r>
      <rPr>
        <sz val="8"/>
        <color rgb="FF000000"/>
        <rFont val="Arial"/>
      </rPr>
      <t>s</t>
    </r>
    <r>
      <rPr>
        <sz val="8"/>
        <color rgb="FF000000"/>
        <rFont val="Arial"/>
      </rPr>
      <t xml:space="preserve">. The resettlement houses are under construction and will be handed over to the households in 2020. Three households were also relocated due to the Awonsu Oxide Pit development; one household was resettled from the tailings storage facility toe drain project. 
</t>
    </r>
    <r>
      <rPr>
        <vertAlign val="superscript"/>
        <sz val="8"/>
        <color rgb="FF000000"/>
        <rFont val="Arial"/>
      </rPr>
      <t>2</t>
    </r>
    <r>
      <rPr>
        <sz val="8"/>
        <color rgb="FF000000"/>
        <rFont val="Arial"/>
      </rPr>
      <t xml:space="preserve"> </t>
    </r>
    <r>
      <rPr>
        <sz val="8"/>
        <color rgb="FF000000"/>
        <rFont val="Arial"/>
      </rPr>
      <t xml:space="preserve">GRI Metals and Mining Sector Supplement disclosure MM9: Sites where resettlements took place, the number of households resettled in each, and how their livelihoods were affected in the process. </t>
    </r>
    <r>
      <rPr>
        <sz val="8"/>
        <color rgb="FF000000"/>
        <rFont val="Arial"/>
      </rPr>
      <t xml:space="preserve"> </t>
    </r>
  </si>
  <si>
    <t>SOCIAL: SOCIAL IMPACT ASSESSMENT AND ENGAGEMENT</t>
  </si>
  <si>
    <t>Social Impact Assessment  (SIA) is conducted at this site; year of last SIA</t>
  </si>
  <si>
    <t>Site's stakeholder enagement plans are based on stakeholder mapping</t>
  </si>
  <si>
    <t>Site engages with broad-based local community consultation committees that include vulnerable groups</t>
  </si>
  <si>
    <t>Site engages with works councils, occupational health and safety committees and other worker representation bodies to deal with social impacts</t>
  </si>
  <si>
    <t>Site has formal local community grievance process</t>
  </si>
  <si>
    <r>
      <rPr>
        <vertAlign val="superscript"/>
        <sz val="8"/>
        <color rgb="FF000000"/>
        <rFont val="Arial"/>
      </rPr>
      <t xml:space="preserve">1 </t>
    </r>
    <r>
      <rPr>
        <sz val="8"/>
        <color rgb="FF000000"/>
        <rFont val="Arial"/>
      </rPr>
      <t xml:space="preserve">All sites out of compliance have plans in place to initiate an SIA update.
</t>
    </r>
    <r>
      <rPr>
        <vertAlign val="superscript"/>
        <sz val="8"/>
        <color rgb="FF000000"/>
        <rFont val="Arial"/>
      </rPr>
      <t xml:space="preserve">2 </t>
    </r>
    <r>
      <rPr>
        <sz val="8"/>
        <color rgb="FF000000"/>
        <rFont val="Arial"/>
      </rPr>
      <t>GRI Standards disclosure GRI 413-1: Operations with local community engagement, impact assessments and development programs</t>
    </r>
    <r>
      <rPr>
        <sz val="8"/>
        <color rgb="FF000000"/>
        <rFont val="Arial"/>
      </rPr>
      <t>.</t>
    </r>
  </si>
  <si>
    <t>Spend on health focus area</t>
  </si>
  <si>
    <t>Spend on food security focus area</t>
  </si>
  <si>
    <t>Spend on economic resiliency focus area</t>
  </si>
  <si>
    <r>
      <rPr>
        <b/>
        <sz val="10"/>
        <color rgb="FF000000"/>
        <rFont val="Arial"/>
      </rPr>
      <t>Spend on other focus area</t>
    </r>
    <r>
      <rPr>
        <b/>
        <vertAlign val="superscript"/>
        <sz val="10"/>
        <color rgb="FF000000"/>
        <rFont val="Arial"/>
      </rPr>
      <t>3</t>
    </r>
  </si>
  <si>
    <t>Total spend</t>
  </si>
  <si>
    <t>Ethiopia</t>
  </si>
  <si>
    <r>
      <rPr>
        <sz val="10"/>
        <color rgb="FF000000"/>
        <rFont val="Arial"/>
      </rPr>
      <t>National</t>
    </r>
    <r>
      <rPr>
        <vertAlign val="superscript"/>
        <sz val="10"/>
        <color rgb="FF000000"/>
        <rFont val="Arial"/>
      </rPr>
      <t>1</t>
    </r>
  </si>
  <si>
    <t>Denver</t>
  </si>
  <si>
    <t>Coffee</t>
  </si>
  <si>
    <r>
      <rPr>
        <sz val="10"/>
        <color rgb="FF000000"/>
        <rFont val="Arial"/>
      </rPr>
      <t>Legacy Sites</t>
    </r>
    <r>
      <rPr>
        <vertAlign val="superscript"/>
        <sz val="10"/>
        <color rgb="FF000000"/>
        <rFont val="Arial"/>
      </rPr>
      <t>2</t>
    </r>
  </si>
  <si>
    <t>Barbados</t>
  </si>
  <si>
    <r>
      <rPr>
        <vertAlign val="superscript"/>
        <sz val="8"/>
        <color rgb="FF000000"/>
        <rFont val="Arial"/>
      </rPr>
      <t>1</t>
    </r>
    <r>
      <rPr>
        <vertAlign val="superscript"/>
        <sz val="8"/>
        <color rgb="FF000000"/>
        <rFont val="Arial"/>
      </rPr>
      <t xml:space="preserve"> </t>
    </r>
    <r>
      <rPr>
        <sz val="8"/>
        <color rgb="FF000000"/>
        <rFont val="Arial"/>
      </rPr>
      <t xml:space="preserve">Donations </t>
    </r>
    <r>
      <rPr>
        <sz val="8"/>
        <color rgb="FF000000"/>
        <rFont val="Arial"/>
      </rPr>
      <t>made to organizations outside of the local</t>
    </r>
    <r>
      <rPr>
        <sz val="8"/>
        <color rgb="FF000000"/>
        <rFont val="Arial"/>
      </rPr>
      <t xml:space="preserve"> community with a </t>
    </r>
    <r>
      <rPr>
        <sz val="8"/>
        <color rgb="FF000000"/>
        <rFont val="Arial"/>
      </rPr>
      <t xml:space="preserve">national or regional focus
</t>
    </r>
    <r>
      <rPr>
        <vertAlign val="superscript"/>
        <sz val="8"/>
        <color rgb="FF000000"/>
        <rFont val="Arial"/>
      </rPr>
      <t>2</t>
    </r>
    <r>
      <rPr>
        <vertAlign val="superscript"/>
        <sz val="8"/>
        <color rgb="FF000000"/>
        <rFont val="Arial"/>
      </rPr>
      <t xml:space="preserve"> </t>
    </r>
    <r>
      <rPr>
        <sz val="8"/>
        <color rgb="FF000000"/>
        <rFont val="Arial"/>
      </rPr>
      <t xml:space="preserve">Specific </t>
    </r>
    <r>
      <rPr>
        <sz val="8"/>
        <color rgb="FF000000"/>
        <rFont val="Arial"/>
      </rPr>
      <t>legacy site</t>
    </r>
    <r>
      <rPr>
        <sz val="8"/>
        <color rgb="FF000000"/>
        <rFont val="Arial"/>
      </rPr>
      <t xml:space="preserve"> data was not collected</t>
    </r>
    <r>
      <rPr>
        <sz val="8"/>
        <color rgb="FF000000"/>
        <rFont val="Arial"/>
      </rPr>
      <t>, but refer</t>
    </r>
    <r>
      <rPr>
        <sz val="8"/>
        <color rgb="FF000000"/>
        <rFont val="Arial"/>
      </rPr>
      <t>s</t>
    </r>
    <r>
      <rPr>
        <sz val="8"/>
        <color rgb="FF000000"/>
        <rFont val="Arial"/>
      </rPr>
      <t xml:space="preserve"> to San Martin</t>
    </r>
    <r>
      <rPr>
        <sz val="8"/>
        <color rgb="FF000000"/>
        <rFont val="Arial"/>
      </rPr>
      <t xml:space="preserve"> (</t>
    </r>
    <r>
      <rPr>
        <sz val="8"/>
        <color rgb="FF000000"/>
        <rFont val="Arial"/>
      </rPr>
      <t>Honduras</t>
    </r>
    <r>
      <rPr>
        <sz val="8"/>
        <color rgb="FF000000"/>
        <rFont val="Arial"/>
      </rPr>
      <t>) and Marlin (</t>
    </r>
    <r>
      <rPr>
        <sz val="8"/>
        <color rgb="FF000000"/>
        <rFont val="Arial"/>
      </rPr>
      <t>Guatemala</t>
    </r>
    <r>
      <rPr>
        <sz val="8"/>
        <color rgb="FF000000"/>
        <rFont val="Arial"/>
      </rPr>
      <t xml:space="preserve">)
</t>
    </r>
    <r>
      <rPr>
        <vertAlign val="superscript"/>
        <sz val="8"/>
        <color rgb="FF000000"/>
        <rFont val="Arial"/>
      </rPr>
      <t>3</t>
    </r>
    <r>
      <rPr>
        <vertAlign val="superscript"/>
        <sz val="8"/>
        <color rgb="FF000000"/>
        <rFont val="Arial"/>
      </rPr>
      <t xml:space="preserve"> </t>
    </r>
    <r>
      <rPr>
        <sz val="8"/>
        <color rgb="FF000000"/>
        <rFont val="Arial"/>
      </rPr>
      <t xml:space="preserve">'Other' focus area </t>
    </r>
    <r>
      <rPr>
        <sz val="8"/>
        <color rgb="FF000000"/>
        <rFont val="Arial"/>
      </rPr>
      <t>is used for donations not</t>
    </r>
    <r>
      <rPr>
        <sz val="8"/>
        <color rgb="FF000000"/>
        <rFont val="Arial"/>
      </rPr>
      <t xml:space="preserve"> related to </t>
    </r>
    <r>
      <rPr>
        <sz val="8"/>
        <color rgb="FF000000"/>
        <rFont val="Arial"/>
      </rPr>
      <t>health, food security, or economic resil</t>
    </r>
    <r>
      <rPr>
        <sz val="8"/>
        <color rgb="FF000000"/>
        <rFont val="Arial"/>
      </rPr>
      <t xml:space="preserve">ience
</t>
    </r>
    <r>
      <rPr>
        <vertAlign val="superscript"/>
        <sz val="8"/>
        <color rgb="FF000000"/>
        <rFont val="Arial"/>
      </rPr>
      <t xml:space="preserve">4 </t>
    </r>
    <r>
      <rPr>
        <sz val="8"/>
        <color rgb="FF000000"/>
        <rFont val="Arial"/>
      </rPr>
      <t>T</t>
    </r>
    <r>
      <rPr>
        <sz val="8"/>
        <color rgb="FF000000"/>
        <rFont val="Arial"/>
      </rPr>
      <t>here is a</t>
    </r>
    <r>
      <rPr>
        <sz val="8"/>
        <color rgb="FF000000"/>
        <rFont val="Arial"/>
      </rPr>
      <t xml:space="preserve"> discl</t>
    </r>
    <r>
      <rPr>
        <sz val="8"/>
        <color rgb="FF000000"/>
        <rFont val="Arial"/>
      </rPr>
      <t xml:space="preserve">osure of the </t>
    </r>
    <r>
      <rPr>
        <sz val="8"/>
        <color rgb="FF000000"/>
        <rFont val="Arial"/>
      </rPr>
      <t>fund's current figures on our website. This is just the allocations for 20</t>
    </r>
    <r>
      <rPr>
        <sz val="8"/>
        <color rgb="FF000000"/>
        <rFont val="Arial"/>
      </rPr>
      <t>20.</t>
    </r>
  </si>
  <si>
    <t xml:space="preserve">VALUE SHARING: COMMUNITY INVESTMENTS </t>
  </si>
  <si>
    <t>Totals</t>
  </si>
  <si>
    <t>Vancouver</t>
  </si>
  <si>
    <t>Perth</t>
  </si>
  <si>
    <t>VALUE SHARING: ECONOMIC VALUE GENERATED AND DISTRIBUTED</t>
  </si>
  <si>
    <r>
      <rPr>
        <b/>
        <sz val="9"/>
        <color rgb="FF000000"/>
        <rFont val="Arial"/>
      </rPr>
      <t>Operating costs</t>
    </r>
    <r>
      <rPr>
        <b/>
        <vertAlign val="superscript"/>
        <sz val="9"/>
        <color rgb="FF000000"/>
        <rFont val="Arial"/>
      </rPr>
      <t>2</t>
    </r>
  </si>
  <si>
    <t>Employee wages and benefits</t>
  </si>
  <si>
    <r>
      <rPr>
        <b/>
        <sz val="9"/>
        <color rgb="FF000000"/>
        <rFont val="Arial"/>
      </rPr>
      <t xml:space="preserve">Capital </t>
    </r>
    <r>
      <rPr>
        <b/>
        <sz val="9"/>
        <color rgb="FF000000"/>
        <rFont val="Arial"/>
      </rPr>
      <t>spend</t>
    </r>
    <r>
      <rPr>
        <b/>
        <vertAlign val="superscript"/>
        <sz val="9"/>
        <color rgb="FF000000"/>
        <rFont val="Arial"/>
      </rPr>
      <t>3</t>
    </r>
  </si>
  <si>
    <r>
      <rPr>
        <b/>
        <sz val="9"/>
        <color rgb="FF000000"/>
        <rFont val="Arial"/>
      </rPr>
      <t>Payments to providers of capital</t>
    </r>
    <r>
      <rPr>
        <b/>
        <vertAlign val="superscript"/>
        <sz val="9"/>
        <color rgb="FF000000"/>
        <rFont val="Arial"/>
      </rPr>
      <t>4</t>
    </r>
  </si>
  <si>
    <r>
      <rPr>
        <b/>
        <sz val="9"/>
        <color rgb="FF000000"/>
        <rFont val="Arial"/>
      </rPr>
      <t>Payments to governments</t>
    </r>
    <r>
      <rPr>
        <b/>
        <vertAlign val="superscript"/>
        <sz val="9"/>
        <color rgb="FF000000"/>
        <rFont val="Arial"/>
      </rPr>
      <t>5</t>
    </r>
  </si>
  <si>
    <r>
      <rPr>
        <b/>
        <sz val="9"/>
        <color rgb="FF000000"/>
        <rFont val="Arial"/>
      </rPr>
      <t>Community investments</t>
    </r>
    <r>
      <rPr>
        <b/>
        <vertAlign val="superscript"/>
        <sz val="9"/>
        <color rgb="FF000000"/>
        <rFont val="Arial"/>
      </rPr>
      <t>6</t>
    </r>
  </si>
  <si>
    <t>Amount</t>
  </si>
  <si>
    <r>
      <rPr>
        <vertAlign val="superscript"/>
        <sz val="8"/>
        <color rgb="FF000000"/>
        <rFont val="Arial"/>
      </rPr>
      <t>1</t>
    </r>
    <r>
      <rPr>
        <sz val="8"/>
        <color rgb="FF000000"/>
        <rFont val="Arial"/>
      </rPr>
      <t>Amounts are on a consolidated basis as described in our 2020 10-K; however, to ensure comparable reporting boundaries across financial data</t>
    </r>
    <r>
      <rPr>
        <sz val="8"/>
        <color rgb="FF000000"/>
        <rFont val="Arial"/>
      </rPr>
      <t xml:space="preserve"> </t>
    </r>
    <r>
      <rPr>
        <sz val="8"/>
        <color rgb="FF000000"/>
        <rFont val="Arial"/>
      </rPr>
      <t>disclosed in this report (economic value generated, distributed and community investments data tables), the U.S. figures omit Nevada data. Amounts</t>
    </r>
    <r>
      <rPr>
        <sz val="8"/>
        <color rgb="FF000000"/>
        <rFont val="Arial"/>
      </rPr>
      <t xml:space="preserve"> </t>
    </r>
    <r>
      <rPr>
        <sz val="8"/>
        <color rgb="FF000000"/>
        <rFont val="Arial"/>
      </rPr>
      <t xml:space="preserve">may not recalculate due to rounding.
</t>
    </r>
    <r>
      <rPr>
        <vertAlign val="superscript"/>
        <sz val="8"/>
        <color rgb="FF000000"/>
        <rFont val="Arial"/>
      </rPr>
      <t>2</t>
    </r>
    <r>
      <rPr>
        <sz val="8"/>
        <color rgb="FF000000"/>
        <rFont val="Arial"/>
      </rPr>
      <t xml:space="preserve"> </t>
    </r>
    <r>
      <rPr>
        <sz val="8"/>
        <color rgb="FF000000"/>
        <rFont val="Arial"/>
      </rPr>
      <t xml:space="preserve">Operating costs are comprised of costs applicable to sales of $4,002 (excluding Nevada of $1,012), exploration of $148 (excluding Nevada of $39), advanced projects, research and development of $119 (excluding Nevada of $3), and general and administrative expenses of $259 (excluding Nevada of $10) on an accrued basis and cash paid for reclamation in 2020 of $101. Operating costs omit employee wages and benefits of $1,195, included in the employee wages and benefits column; $397 in payments to governments for employer and property taxes included in the payments to governments column; $82 of indirect costs; $71 of byproduct sales, which are recognized as credits to costs applicable to sales in our 2020 10-K; and $21 of community investments included in the community investments column.
</t>
    </r>
    <r>
      <rPr>
        <vertAlign val="superscript"/>
        <sz val="8"/>
        <color rgb="FF000000"/>
        <rFont val="Arial"/>
      </rPr>
      <t>3</t>
    </r>
    <r>
      <rPr>
        <sz val="8"/>
        <color rgb="FF000000"/>
        <rFont val="Arial"/>
      </rPr>
      <t xml:space="preserve"> </t>
    </r>
    <r>
      <rPr>
        <sz val="8"/>
        <color rgb="FF000000"/>
        <rFont val="Arial"/>
      </rPr>
      <t xml:space="preserve">Capital spend is presented on an accrued basis and excludes employee wages and benefits capitalized of $64 and Nevada spend of $241.   
</t>
    </r>
    <r>
      <rPr>
        <vertAlign val="superscript"/>
        <sz val="8"/>
        <color rgb="FF000000"/>
        <rFont val="Arial"/>
      </rPr>
      <t>4</t>
    </r>
    <r>
      <rPr>
        <sz val="8"/>
        <color rgb="FF000000"/>
        <rFont val="Arial"/>
      </rPr>
      <t xml:space="preserve"> </t>
    </r>
    <r>
      <rPr>
        <sz val="8"/>
        <color rgb="FF000000"/>
        <rFont val="Arial"/>
      </rPr>
      <t xml:space="preserve">Payments to providers of capital includes interest expense, net of capitalized interest of $308, dividends paid to common stockholders of $834, and repurchases of common stock of $521.
</t>
    </r>
    <r>
      <rPr>
        <vertAlign val="superscript"/>
        <sz val="8"/>
        <color rgb="FF000000"/>
        <rFont val="Arial"/>
      </rPr>
      <t>5</t>
    </r>
    <r>
      <rPr>
        <sz val="8"/>
        <color rgb="FF000000"/>
        <rFont val="Arial"/>
      </rPr>
      <t xml:space="preserve"> </t>
    </r>
    <r>
      <rPr>
        <sz val="8"/>
        <color rgb="FF000000"/>
        <rFont val="Arial"/>
      </rPr>
      <t xml:space="preserve">To ensure comparable reporting boundaries across value sharing data disclosed in this report (economic value generated, distributed, payments to governments, and community investments data tables), Nevada data is omitted. The U.S. payments to governments figure omits $36.5 paid to the state of Nevada. Should that figure have been included, the total U.S. payments to governments would have totaled $(89.3).  
</t>
    </r>
    <r>
      <rPr>
        <vertAlign val="superscript"/>
        <sz val="8"/>
        <color rgb="FF000000"/>
        <rFont val="Arial"/>
      </rPr>
      <t>6</t>
    </r>
    <r>
      <rPr>
        <sz val="8"/>
        <color rgb="FF000000"/>
        <rFont val="Arial"/>
      </rPr>
      <t xml:space="preserve"> </t>
    </r>
    <r>
      <rPr>
        <sz val="8"/>
        <color rgb="FF000000"/>
        <rFont val="Arial"/>
      </rPr>
      <t>Community investments data include</t>
    </r>
    <r>
      <rPr>
        <sz val="8"/>
        <color rgb="FF000000"/>
        <rFont val="Arial"/>
      </rPr>
      <t>s</t>
    </r>
    <r>
      <rPr>
        <sz val="8"/>
        <color rgb="FF000000"/>
        <rFont val="Arial"/>
      </rPr>
      <t xml:space="preserve"> direct monetary investments and the book value of in-kind donations. Australia includes Perth regional; Canada includes Vancouver regional office; U.S. excludes Nevada and Denver corporate headquarters. Differences in community investments column totals shown in this table and totals shown in the Community Investments table are due to decimal place rounding. </t>
    </r>
    <r>
      <rPr>
        <sz val="8"/>
        <color rgb="FF000000"/>
        <rFont val="Arial"/>
      </rPr>
      <t>Comm</t>
    </r>
    <r>
      <rPr>
        <sz val="8"/>
        <color rgb="FF000000"/>
        <rFont val="Arial"/>
      </rPr>
      <t>unity investment data exclu</t>
    </r>
    <r>
      <rPr>
        <sz val="8"/>
        <color rgb="FF000000"/>
        <rFont val="Arial"/>
      </rPr>
      <t xml:space="preserve">des the COVID-19 </t>
    </r>
    <r>
      <rPr>
        <sz val="8"/>
        <color rgb="FF000000"/>
        <rFont val="Arial"/>
      </rPr>
      <t xml:space="preserve">Global </t>
    </r>
    <r>
      <rPr>
        <sz val="8"/>
        <color rgb="FF000000"/>
        <rFont val="Arial"/>
      </rPr>
      <t xml:space="preserve">Community Fund </t>
    </r>
    <r>
      <rPr>
        <sz val="8"/>
        <color rgb="FF000000"/>
        <rFont val="Arial"/>
      </rPr>
      <t>contri</t>
    </r>
    <r>
      <rPr>
        <sz val="8"/>
        <color rgb="FF000000"/>
        <rFont val="Arial"/>
      </rPr>
      <t>butions</t>
    </r>
    <r>
      <rPr>
        <sz val="8"/>
        <color rgb="FF000000"/>
        <rFont val="Arial"/>
      </rPr>
      <t xml:space="preserve">.
</t>
    </r>
    <r>
      <rPr>
        <vertAlign val="superscript"/>
        <sz val="8"/>
        <color rgb="FF000000"/>
        <rFont val="Arial"/>
      </rPr>
      <t>7</t>
    </r>
    <r>
      <rPr>
        <sz val="8"/>
        <color rgb="FF000000"/>
        <rFont val="Arial"/>
      </rPr>
      <t xml:space="preserve"> </t>
    </r>
    <r>
      <rPr>
        <sz val="8"/>
        <color rgb="FF000000"/>
        <rFont val="Arial"/>
      </rPr>
      <t xml:space="preserve">GRI Standards disclosure 201-1: Direct Economic Value Generated and Distributed.
</t>
    </r>
    <r>
      <rPr>
        <sz val="8"/>
        <color rgb="FF000000"/>
        <rFont val="Arial"/>
      </rPr>
      <t/>
    </r>
  </si>
  <si>
    <r>
      <rPr>
        <vertAlign val="superscript"/>
        <sz val="8"/>
        <color rgb="FF000000"/>
        <rFont val="Arial"/>
      </rPr>
      <t>1</t>
    </r>
    <r>
      <rPr>
        <sz val="8"/>
        <color rgb="FF000000"/>
        <rFont val="Arial"/>
      </rPr>
      <t xml:space="preserve"> </t>
    </r>
    <r>
      <rPr>
        <sz val="8"/>
        <color rgb="FF000000"/>
        <rFont val="Arial"/>
      </rPr>
      <t xml:space="preserve">Amounts are on a consolidated basis as described in our 2020 10-K; however, to ensure comparable reporting boundaries across value sharing data disclosed in this report (economic value generated, distributed, payments to governments, and community investments data tables), Nevada data is omitted. Economic value generated includes sales of $9,138 (excluding Nevada of $2,359), as well as byproduct sales of $71, which are recognized as credits to costs applicable to sales in our 2020 10-K.
</t>
    </r>
    <r>
      <rPr>
        <vertAlign val="superscript"/>
        <sz val="8"/>
        <color rgb="FF000000"/>
        <rFont val="Arial"/>
      </rPr>
      <t>2</t>
    </r>
    <r>
      <rPr>
        <sz val="8"/>
        <color rgb="FF000000"/>
        <rFont val="Arial"/>
      </rPr>
      <t xml:space="preserve"> </t>
    </r>
    <r>
      <rPr>
        <sz val="8"/>
        <color rgb="FF000000"/>
        <rFont val="Arial"/>
      </rPr>
      <t>G</t>
    </r>
    <r>
      <rPr>
        <sz val="8"/>
        <color rgb="FF000000"/>
        <rFont val="Arial"/>
      </rPr>
      <t>RI Standards disclosure 201-1: Direct Economic Value Generated and Distributed.</t>
    </r>
  </si>
  <si>
    <t xml:space="preserve">VALUE SHARING: SUPPLY CHAIN </t>
  </si>
  <si>
    <t>Total spent on all suppliers</t>
  </si>
  <si>
    <t>Total spent with local suppliers</t>
  </si>
  <si>
    <t>% spent with local suppliers</t>
  </si>
  <si>
    <t>Total spent with national suppliers</t>
  </si>
  <si>
    <t>% spent with national suppliers</t>
  </si>
  <si>
    <t>Total spent with local and national suppliers</t>
  </si>
  <si>
    <t>% spent with local and national suppliers</t>
  </si>
  <si>
    <r>
      <rPr>
        <b/>
        <sz val="10"/>
        <color rgb="FF000000"/>
        <rFont val="Arial"/>
      </rPr>
      <t>Spending on Local Suppliers by Region</t>
    </r>
    <r>
      <rPr>
        <b/>
        <sz val="10"/>
        <color rgb="FF000000"/>
        <rFont val="Arial"/>
      </rPr>
      <t xml:space="preserve"> </t>
    </r>
    <r>
      <rPr>
        <b/>
        <sz val="10"/>
        <color rgb="FF000000"/>
        <rFont val="Arial"/>
      </rPr>
      <t>- target vs. results</t>
    </r>
    <r>
      <rPr>
        <b/>
        <sz val="10"/>
        <color rgb="FF000000"/>
        <rFont val="Arial"/>
      </rPr>
      <t xml:space="preserve">: Trailing </t>
    </r>
    <r>
      <rPr>
        <b/>
        <sz val="10"/>
        <color rgb="FF000000"/>
        <rFont val="Arial"/>
      </rPr>
      <t>four</t>
    </r>
    <r>
      <rPr>
        <b/>
        <sz val="10"/>
        <color rgb="FF000000"/>
        <rFont val="Arial"/>
      </rPr>
      <t>-</t>
    </r>
    <r>
      <rPr>
        <b/>
        <sz val="10"/>
        <color rgb="FF000000"/>
        <rFont val="Arial"/>
      </rPr>
      <t>year</t>
    </r>
    <r>
      <rPr>
        <b/>
        <sz val="10"/>
        <color rgb="FF000000"/>
        <rFont val="Arial"/>
      </rPr>
      <t xml:space="preserve"> </t>
    </r>
    <r>
      <rPr>
        <b/>
        <sz val="10"/>
        <color rgb="FF000000"/>
        <rFont val="Arial"/>
      </rPr>
      <t>data</t>
    </r>
    <r>
      <rPr>
        <b/>
        <sz val="10"/>
        <color rgb="FF000000"/>
        <rFont val="Arial"/>
      </rPr>
      <t xml:space="preserve"> (</t>
    </r>
    <r>
      <rPr>
        <b/>
        <sz val="10"/>
        <color rgb="FF000000"/>
        <rFont val="Arial"/>
      </rPr>
      <t>m</t>
    </r>
    <r>
      <rPr>
        <b/>
        <sz val="10"/>
        <color rgb="FF000000"/>
        <rFont val="Arial"/>
      </rPr>
      <t>illions)</t>
    </r>
    <r>
      <rPr>
        <b/>
        <vertAlign val="superscript"/>
        <sz val="10"/>
        <color rgb="FF000000"/>
        <rFont val="Arial"/>
      </rPr>
      <t>1</t>
    </r>
    <r>
      <rPr>
        <b/>
        <vertAlign val="superscript"/>
        <sz val="10"/>
        <color rgb="FF000000"/>
        <rFont val="Arial"/>
      </rPr>
      <t>,2</t>
    </r>
  </si>
  <si>
    <t>Spending on Local Suppliers by Site (millions)</t>
  </si>
  <si>
    <t>Total Spend</t>
  </si>
  <si>
    <t>Local-Local</t>
  </si>
  <si>
    <t>Local</t>
  </si>
  <si>
    <t>National</t>
  </si>
  <si>
    <t>International</t>
  </si>
  <si>
    <r>
      <rPr>
        <sz val="10"/>
        <color rgb="FF000000"/>
        <rFont val="Arial"/>
      </rPr>
      <t>Africa</t>
    </r>
    <r>
      <rPr>
        <vertAlign val="superscript"/>
        <sz val="10"/>
        <color rgb="FF000000"/>
        <rFont val="Arial"/>
      </rPr>
      <t>1</t>
    </r>
  </si>
  <si>
    <t>Region</t>
  </si>
  <si>
    <t>Spend Target</t>
  </si>
  <si>
    <t>Target Results</t>
  </si>
  <si>
    <r>
      <rPr>
        <vertAlign val="superscript"/>
        <sz val="8"/>
        <color rgb="FF000000"/>
        <rFont val="Arial"/>
      </rPr>
      <t xml:space="preserve">1 </t>
    </r>
    <r>
      <rPr>
        <sz val="8"/>
        <color rgb="FF000000"/>
        <rFont val="Arial"/>
      </rPr>
      <t>GRI Standards disclosure GRI 102-09: Number of suppliers.</t>
    </r>
  </si>
  <si>
    <r>
      <rPr>
        <sz val="10"/>
        <color rgb="FF000000"/>
        <rFont val="Arial"/>
      </rPr>
      <t>Australia</t>
    </r>
    <r>
      <rPr>
        <vertAlign val="superscript"/>
        <sz val="10"/>
        <color rgb="FF000000"/>
        <rFont val="Arial"/>
      </rPr>
      <t>2</t>
    </r>
  </si>
  <si>
    <r>
      <rPr>
        <sz val="10"/>
        <color rgb="FF000000"/>
        <rFont val="Arial"/>
      </rPr>
      <t>North America</t>
    </r>
    <r>
      <rPr>
        <vertAlign val="superscript"/>
        <sz val="10"/>
        <color rgb="FF000000"/>
        <rFont val="Arial"/>
      </rPr>
      <t>3</t>
    </r>
  </si>
  <si>
    <r>
      <rPr>
        <sz val="10"/>
        <color rgb="FF000000"/>
        <rFont val="Arial"/>
      </rPr>
      <t>South America</t>
    </r>
    <r>
      <rPr>
        <vertAlign val="superscript"/>
        <sz val="10"/>
        <color rgb="FF000000"/>
        <rFont val="Arial"/>
      </rPr>
      <t>4</t>
    </r>
  </si>
  <si>
    <r>
      <rPr>
        <vertAlign val="superscript"/>
        <sz val="8"/>
        <color rgb="FF000000"/>
        <rFont val="Arial"/>
      </rPr>
      <t>1</t>
    </r>
    <r>
      <rPr>
        <sz val="8"/>
        <color rgb="FF000000"/>
        <rFont val="Arial"/>
      </rPr>
      <t xml:space="preserve"> "Local" or "local-local" refers to a micro-, small- or medium-size enterprise properly licensed and registered in Ghana. Local-local suppliers must have an office established in the mining lease area and be validated by community representatives and Newmont. Local suppliers must have an office in the region where the mine is located, but validation is not required.
</t>
    </r>
    <r>
      <rPr>
        <vertAlign val="superscript"/>
        <sz val="8"/>
        <color rgb="FF000000"/>
        <rFont val="Arial"/>
      </rPr>
      <t>2</t>
    </r>
    <r>
      <rPr>
        <sz val="8"/>
        <color rgb="FF000000"/>
        <rFont val="Arial"/>
      </rPr>
      <t xml:space="preserve"> At Boddington, local suppliers are located in the </t>
    </r>
    <r>
      <rPr>
        <sz val="8"/>
        <color rgb="FF000000"/>
        <rFont val="Arial"/>
      </rPr>
      <t xml:space="preserve">state of Western Australia, </t>
    </r>
    <r>
      <rPr>
        <sz val="8"/>
        <color rgb="FF000000"/>
        <rFont val="Arial"/>
      </rPr>
      <t>and local-local suppliers are within a 50-kilometer radius</t>
    </r>
    <r>
      <rPr>
        <sz val="8"/>
        <color rgb="FF000000"/>
        <rFont val="Arial"/>
      </rPr>
      <t xml:space="preserve"> of site</t>
    </r>
    <r>
      <rPr>
        <sz val="8"/>
        <color rgb="FF000000"/>
        <rFont val="Arial"/>
      </rPr>
      <t xml:space="preserve">. At Tanami, local suppliers are located in </t>
    </r>
    <r>
      <rPr>
        <sz val="8"/>
        <color rgb="FF000000"/>
        <rFont val="Arial"/>
      </rPr>
      <t>the state of Northern Terri</t>
    </r>
    <r>
      <rPr>
        <sz val="8"/>
        <color rgb="FF000000"/>
        <rFont val="Arial"/>
      </rPr>
      <t>tory</t>
    </r>
    <r>
      <rPr>
        <sz val="8"/>
        <color rgb="FF000000"/>
        <rFont val="Arial"/>
      </rPr>
      <t xml:space="preserve">, and local-local suppliers are from the Yuendumu and Lajamanu communities.
</t>
    </r>
    <r>
      <rPr>
        <vertAlign val="superscript"/>
        <sz val="8"/>
        <color rgb="FF000000"/>
        <rFont val="Arial"/>
      </rPr>
      <t>3</t>
    </r>
    <r>
      <rPr>
        <sz val="8"/>
        <color rgb="FF000000"/>
        <rFont val="Arial"/>
      </rPr>
      <t xml:space="preserve"> </t>
    </r>
    <r>
      <rPr>
        <sz val="8"/>
        <color rgb="FF000000"/>
        <rFont val="Arial"/>
      </rPr>
      <t xml:space="preserve">For Éléonore, local-local suppliers must be owned by the Cree Nation of Wemindji, and local suppliers are owned by other Cree communities and the Cree Nation, as well as suppliers from the Nord-du-Québec region. For Musselwhite, local-local suppliers are those owned by signatory and affiliate First Nations and Councils, and local suppliers are from Winnipeg to Sault Saint Marie in Musselwhite’s indirect geographical area of influence. For Porcupine, local-local suppliers are from communities within 75km of operations and from signatory First Nations, and local suppliers are from the northeastern Ontario region in Porcupine’s indirect geographical area of influence. For CC&amp;V, local-local suppliers are located in counties (Teller, Fremont, El-Paso) with close proximity to site, while local suppliers are from the rest of the state of Colorado.
</t>
    </r>
    <r>
      <rPr>
        <vertAlign val="superscript"/>
        <sz val="8"/>
        <color rgb="FF000000"/>
        <rFont val="Arial"/>
      </rPr>
      <t>4</t>
    </r>
    <r>
      <rPr>
        <sz val="8"/>
        <color rgb="FF000000"/>
        <rFont val="Arial"/>
      </rPr>
      <t xml:space="preserve"> Includes Merian and Yanacocha. “National” spend for Merian is included in “Local Procurement Spend.” At Yanacocha, local suppliers must meet certain criteria and be registered in the city of Cajamarca, and local-local suppliers must be located in Yanacocha's geographical area of influence. At Merian, local suppliers are located in the country, and local-local suppliers are based close to the mine (predominantly Pamaka).
</t>
    </r>
    <r>
      <rPr>
        <vertAlign val="superscript"/>
        <sz val="8"/>
        <color rgb="FF000000"/>
        <rFont val="Arial"/>
      </rPr>
      <t>5</t>
    </r>
    <r>
      <rPr>
        <vertAlign val="superscript"/>
        <sz val="8"/>
        <color rgb="FF000000"/>
        <rFont val="Arial"/>
      </rPr>
      <t xml:space="preserve"> </t>
    </r>
    <r>
      <rPr>
        <sz val="8"/>
        <color rgb="FF000000"/>
        <rFont val="Arial"/>
      </rPr>
      <t xml:space="preserve">GRI Standards disclosure GRI 204-1: Proportion of spending on local suppliers.
</t>
    </r>
    <r>
      <rPr>
        <vertAlign val="superscript"/>
        <sz val="8"/>
        <color rgb="FF000000"/>
        <rFont val="Arial"/>
      </rPr>
      <t/>
    </r>
  </si>
  <si>
    <r>
      <rPr>
        <vertAlign val="superscript"/>
        <sz val="8"/>
        <color rgb="FF000000"/>
        <rFont val="Arial"/>
      </rPr>
      <t>1</t>
    </r>
    <r>
      <rPr>
        <vertAlign val="superscript"/>
        <sz val="8"/>
        <color rgb="FF000000"/>
        <rFont val="Arial"/>
      </rPr>
      <t xml:space="preserve"> </t>
    </r>
    <r>
      <rPr>
        <sz val="8"/>
        <color rgb="FF000000"/>
        <rFont val="Arial"/>
      </rPr>
      <t xml:space="preserve">2019 North America local supplier spending figures include Nevada supplier spend from January 1 to June 30 (pre-JV) and exclude the Colorado, U.S. corporate office; Australia local supplier spending figures exclude KCGM.
</t>
    </r>
    <r>
      <rPr>
        <vertAlign val="superscript"/>
        <sz val="8"/>
        <color rgb="FF000000"/>
        <rFont val="Arial"/>
      </rPr>
      <t xml:space="preserve">2 </t>
    </r>
    <r>
      <rPr>
        <sz val="8"/>
        <color rgb="FF000000"/>
        <rFont val="Arial"/>
      </rPr>
      <t xml:space="preserve">This </t>
    </r>
    <r>
      <rPr>
        <sz val="8"/>
        <color rgb="FF000000"/>
        <rFont val="Arial"/>
      </rPr>
      <t>tab</t>
    </r>
    <r>
      <rPr>
        <sz val="8"/>
        <color rgb="FF000000"/>
        <rFont val="Arial"/>
      </rPr>
      <t>le only include</t>
    </r>
    <r>
      <rPr>
        <sz val="8"/>
        <color rgb="FF000000"/>
        <rFont val="Arial"/>
      </rPr>
      <t>s data from former Newmont sites.</t>
    </r>
  </si>
  <si>
    <t xml:space="preserve">VALUE SHARING: TAX TRANSPARENCY  </t>
  </si>
  <si>
    <t>Government royalties</t>
  </si>
  <si>
    <t>Taxes</t>
  </si>
  <si>
    <t>Payments to governments</t>
  </si>
  <si>
    <t>Rate</t>
  </si>
  <si>
    <t>$19.22</t>
  </si>
  <si>
    <t>$64.12</t>
  </si>
  <si>
    <t>$83.34</t>
  </si>
  <si>
    <t>$59.39</t>
  </si>
  <si>
    <t>$195.17</t>
  </si>
  <si>
    <t>$254.56</t>
  </si>
  <si>
    <t>$0.0</t>
  </si>
  <si>
    <t>$17.06</t>
  </si>
  <si>
    <t>$77.79</t>
  </si>
  <si>
    <t>$206.80</t>
  </si>
  <si>
    <t>$284.59</t>
  </si>
  <si>
    <t>$45.45</t>
  </si>
  <si>
    <t>$56.42</t>
  </si>
  <si>
    <t>$49.04</t>
  </si>
  <si>
    <t>$49.42</t>
  </si>
  <si>
    <t>$98.46</t>
  </si>
  <si>
    <r>
      <rPr>
        <sz val="10"/>
        <color rgb="FF000000"/>
        <rFont val="Arial"/>
      </rPr>
      <t>U.S.</t>
    </r>
    <r>
      <rPr>
        <vertAlign val="superscript"/>
        <sz val="10"/>
        <color rgb="FF000000"/>
        <rFont val="Arial"/>
      </rPr>
      <t>3,4</t>
    </r>
  </si>
  <si>
    <t>$(125.76)</t>
  </si>
  <si>
    <r>
      <rPr>
        <sz val="10"/>
        <color rgb="FF000000"/>
        <rFont val="Arial"/>
      </rPr>
      <t>U.S.</t>
    </r>
    <r>
      <rPr>
        <vertAlign val="superscript"/>
        <sz val="10"/>
        <color rgb="FF000000"/>
        <rFont val="Arial"/>
      </rPr>
      <t>2</t>
    </r>
  </si>
  <si>
    <t>$205.44</t>
  </si>
  <si>
    <t>$508.69</t>
  </si>
  <si>
    <t>$714.14</t>
  </si>
  <si>
    <t>Other foreign</t>
  </si>
  <si>
    <r>
      <rPr>
        <vertAlign val="superscript"/>
        <sz val="8"/>
        <color rgb="FF000000"/>
        <rFont val="Arial"/>
      </rPr>
      <t>1</t>
    </r>
    <r>
      <rPr>
        <sz val="8"/>
        <color rgb="FF000000"/>
        <rFont val="Arial"/>
      </rPr>
      <t xml:space="preserve"> </t>
    </r>
    <r>
      <rPr>
        <sz val="8"/>
        <color rgb="FF000000"/>
        <rFont val="Arial"/>
      </rPr>
      <t>T</t>
    </r>
    <r>
      <rPr>
        <sz val="8"/>
        <color rgb="FF000000"/>
        <rFont val="Arial"/>
      </rPr>
      <t xml:space="preserve">axes include current year cash payments for income and mining taxes, accrued employer, property, sales, production, and withholding taxes. In addition, taxes include export duties paid in Argentina. Amounts may not calculate due to rounding.
</t>
    </r>
    <r>
      <rPr>
        <vertAlign val="superscript"/>
        <sz val="8"/>
        <color rgb="FF000000"/>
        <rFont val="Arial"/>
      </rPr>
      <t>2</t>
    </r>
    <r>
      <rPr>
        <sz val="8"/>
        <color rgb="FF000000"/>
        <rFont val="Arial"/>
      </rPr>
      <t xml:space="preserve"> </t>
    </r>
    <r>
      <rPr>
        <sz val="8"/>
        <color rgb="FF000000"/>
        <rFont val="Arial"/>
      </rPr>
      <t xml:space="preserve">Significant tax payments incurred are projected to be paid the following year for various countries that have installment rules impacting the timing of tax payments. 
</t>
    </r>
    <r>
      <rPr>
        <vertAlign val="superscript"/>
        <sz val="8"/>
        <color rgb="FF000000"/>
        <rFont val="Arial"/>
      </rPr>
      <t>3</t>
    </r>
    <r>
      <rPr>
        <sz val="8"/>
        <color rgb="FF000000"/>
        <rFont val="Arial"/>
      </rPr>
      <t xml:space="preserve"> </t>
    </r>
    <r>
      <rPr>
        <sz val="8"/>
        <color rgb="FF000000"/>
        <rFont val="Arial"/>
      </rPr>
      <t xml:space="preserve">To ensure comparable reporting boundaries across value sharing data disclosed in this report (economic value generated, distributed, payments to governments, and community investments data tables), Nevada data is omitted. The U.S. payments to governments figure omits $36.5 paid to the state of Nevada. Should that figure have been included, the total U.S. payments to governments would have totaled $(89.3).
</t>
    </r>
    <r>
      <rPr>
        <vertAlign val="superscript"/>
        <sz val="8"/>
        <color rgb="FF000000"/>
        <rFont val="Arial"/>
      </rPr>
      <t>4</t>
    </r>
    <r>
      <rPr>
        <sz val="8"/>
        <color rgb="FF000000"/>
        <rFont val="Arial"/>
      </rPr>
      <t xml:space="preserve"> </t>
    </r>
    <r>
      <rPr>
        <sz val="8"/>
        <color rgb="FF000000"/>
        <rFont val="Arial"/>
      </rPr>
      <t>Under the Tax Cuts and Jobs Act of 2017, Alternative Minimum Tax (“AMT”) paid in prior years became refundable incrementally from 2018 through 2021.  The Coronavirus Aid, Relief, and Economic Security Act, signed into law in the Spring of 2020, allowed for the full refund of any unused AMT credits in 2018 or 2019.  Newmont received the AMT credits for both 2018 and 2019 in 2020.</t>
    </r>
    <r>
      <rPr>
        <sz val="8"/>
        <color rgb="FF000000"/>
        <rFont val="Arial"/>
      </rPr>
      <t xml:space="preserve">  
</t>
    </r>
    <r>
      <rPr>
        <vertAlign val="superscript"/>
        <sz val="8"/>
        <color rgb="FF000000"/>
        <rFont val="Arial"/>
      </rPr>
      <t>5</t>
    </r>
    <r>
      <rPr>
        <vertAlign val="superscript"/>
        <sz val="8"/>
        <color rgb="FF000000"/>
        <rFont val="Arial"/>
      </rPr>
      <t xml:space="preserve"> </t>
    </r>
    <r>
      <rPr>
        <sz val="8"/>
        <color rgb="FF000000"/>
        <rFont val="Arial"/>
      </rPr>
      <t xml:space="preserve">GRI Standards disclosure GRI 207-4: Country-by-Country Tax Reporting.
</t>
    </r>
    <r>
      <rPr>
        <sz val="8"/>
        <color rgb="FF000000"/>
        <rFont val="Arial"/>
      </rPr>
      <t xml:space="preserve"> </t>
    </r>
    <r>
      <rPr>
        <sz val="8"/>
        <color rgb="FF000000"/>
        <rFont val="Arial"/>
      </rPr>
      <t xml:space="preserve">   
</t>
    </r>
    <r>
      <rPr>
        <sz val="8"/>
        <color rgb="FF000000"/>
        <rFont val="Arial"/>
      </rPr>
      <t/>
    </r>
  </si>
  <si>
    <t>Consolidated</t>
  </si>
  <si>
    <r>
      <rPr>
        <vertAlign val="superscript"/>
        <sz val="8"/>
        <color rgb="FF000000"/>
        <rFont val="Arial"/>
      </rPr>
      <t>1</t>
    </r>
    <r>
      <rPr>
        <sz val="8"/>
        <color rgb="FF000000"/>
        <rFont val="Arial"/>
      </rPr>
      <t xml:space="preserve"> </t>
    </r>
    <r>
      <rPr>
        <sz val="8"/>
        <color rgb="FF000000"/>
        <rFont val="Arial"/>
      </rPr>
      <t>The effective tax rate is driven by a number of factors and can fluctuate from year to year. For a more detailed discussion of tax expenses, refer to page 66 of Newmont's 2020 Form 10</t>
    </r>
    <r>
      <rPr>
        <sz val="8"/>
        <color rgb="FF000000"/>
        <rFont val="Arial"/>
      </rPr>
      <t>-</t>
    </r>
    <r>
      <rPr>
        <sz val="8"/>
        <color rgb="FF000000"/>
        <rFont val="Arial"/>
      </rPr>
      <t xml:space="preserve">K report. Amounts may not calculate due to rounding. 
</t>
    </r>
    <r>
      <rPr>
        <vertAlign val="superscript"/>
        <sz val="8"/>
        <color rgb="FF000000"/>
        <rFont val="Arial"/>
      </rPr>
      <t>2</t>
    </r>
    <r>
      <rPr>
        <sz val="8"/>
        <color rgb="FF000000"/>
        <rFont val="Arial"/>
      </rPr>
      <t xml:space="preserve"> </t>
    </r>
    <r>
      <rPr>
        <sz val="8"/>
        <color rgb="FF000000"/>
        <rFont val="Arial"/>
      </rPr>
      <t xml:space="preserve">The US effective tax rate includes CC&amp;V, Corporate Headquarters (Colorado), Nevada, and other U.S.
</t>
    </r>
    <r>
      <rPr>
        <vertAlign val="superscript"/>
        <sz val="8"/>
        <color rgb="FF000000"/>
        <rFont val="Arial"/>
      </rPr>
      <t>3</t>
    </r>
    <r>
      <rPr>
        <sz val="8"/>
        <color rgb="FF000000"/>
        <rFont val="Arial"/>
      </rPr>
      <t xml:space="preserve"> </t>
    </r>
    <r>
      <rPr>
        <sz val="8"/>
        <color rgb="FF000000"/>
        <rFont val="Arial"/>
      </rPr>
      <t>GRI Standards disclosure GRI 207-4: Country-by-Country Tax Reporting.</t>
    </r>
    <r>
      <rPr>
        <sz val="8"/>
        <color rgb="FF000000"/>
        <rFont val="Arial"/>
      </rPr>
      <t xml:space="preserve"> </t>
    </r>
  </si>
  <si>
    <t>WORKFORCE DEMOGRAPHICS</t>
  </si>
  <si>
    <r>
      <rPr>
        <b/>
        <sz val="9"/>
        <color rgb="FF000000"/>
        <rFont val="Arial"/>
      </rPr>
      <t>Total workforce: Trailing five year data</t>
    </r>
    <r>
      <rPr>
        <b/>
        <vertAlign val="superscript"/>
        <sz val="9"/>
        <color rgb="FF000000"/>
        <rFont val="Arial"/>
      </rPr>
      <t>1, 2</t>
    </r>
  </si>
  <si>
    <r>
      <rPr>
        <b/>
        <sz val="9"/>
        <color rgb="FF000000"/>
        <rFont val="Arial"/>
      </rPr>
      <t>Employees by region: Trailing five year data</t>
    </r>
    <r>
      <rPr>
        <b/>
        <vertAlign val="superscript"/>
        <sz val="9"/>
        <color rgb="FF000000"/>
        <rFont val="Arial"/>
      </rPr>
      <t xml:space="preserve">1, </t>
    </r>
    <r>
      <rPr>
        <b/>
        <vertAlign val="superscript"/>
        <sz val="9"/>
        <color rgb="FF000000"/>
        <rFont val="Arial"/>
      </rPr>
      <t>5</t>
    </r>
  </si>
  <si>
    <r>
      <rPr>
        <b/>
        <sz val="9"/>
        <color rgb="FF000000"/>
        <rFont val="Arial"/>
      </rPr>
      <t>Contractors by region: Trailing five year data</t>
    </r>
    <r>
      <rPr>
        <b/>
        <vertAlign val="superscript"/>
        <sz val="9"/>
        <color rgb="FF000000"/>
        <rFont val="Arial"/>
      </rPr>
      <t xml:space="preserve">1, </t>
    </r>
    <r>
      <rPr>
        <b/>
        <vertAlign val="superscript"/>
        <sz val="9"/>
        <color rgb="FF000000"/>
        <rFont val="Arial"/>
      </rPr>
      <t>3</t>
    </r>
  </si>
  <si>
    <t>Employees</t>
  </si>
  <si>
    <t>Contractors</t>
  </si>
  <si>
    <r>
      <rPr>
        <b/>
        <sz val="9"/>
        <color rgb="FF000000"/>
        <rFont val="Arial"/>
      </rPr>
      <t>Australia</t>
    </r>
    <r>
      <rPr>
        <b/>
        <vertAlign val="superscript"/>
        <sz val="9"/>
        <color rgb="FF000000"/>
        <rFont val="Arial"/>
      </rPr>
      <t>2</t>
    </r>
  </si>
  <si>
    <r>
      <rPr>
        <b/>
        <sz val="9"/>
        <color rgb="FF000000"/>
        <rFont val="Arial"/>
      </rPr>
      <t>Americas: North</t>
    </r>
    <r>
      <rPr>
        <b/>
        <vertAlign val="superscript"/>
        <sz val="9"/>
        <color rgb="FF000000"/>
        <rFont val="Arial"/>
      </rPr>
      <t>3</t>
    </r>
  </si>
  <si>
    <r>
      <rPr>
        <b/>
        <sz val="9"/>
        <color rgb="FF000000"/>
        <rFont val="Arial"/>
      </rPr>
      <t>Americas: North</t>
    </r>
    <r>
      <rPr>
        <b/>
        <vertAlign val="superscript"/>
        <sz val="9"/>
        <color rgb="FF000000"/>
        <rFont val="Arial"/>
      </rPr>
      <t>2</t>
    </r>
  </si>
  <si>
    <r>
      <rPr>
        <vertAlign val="superscript"/>
        <sz val="8"/>
        <color rgb="FF000000"/>
        <rFont val="Arial"/>
      </rPr>
      <t xml:space="preserve">1 </t>
    </r>
    <r>
      <rPr>
        <vertAlign val="superscript"/>
        <sz val="8"/>
        <color rgb="FF000000"/>
        <rFont val="Arial"/>
      </rPr>
      <t xml:space="preserve"> </t>
    </r>
    <r>
      <rPr>
        <sz val="8"/>
        <color rgb="FF000000"/>
        <rFont val="Arial"/>
      </rPr>
      <t xml:space="preserve">Significant 2018-2019 changes reflect the April 18, 2019 acquisition of Goldcorp and the omission of Nevada workforce due to the Nevada Gold Mines JV formation on July 1, 2019.
</t>
    </r>
    <r>
      <rPr>
        <vertAlign val="superscript"/>
        <sz val="8"/>
        <color rgb="FF000000"/>
        <rFont val="Arial"/>
      </rPr>
      <t>2</t>
    </r>
    <r>
      <rPr>
        <sz val="8"/>
        <color rgb="FF000000"/>
        <rFont val="Arial"/>
      </rPr>
      <t xml:space="preserve"> </t>
    </r>
    <r>
      <rPr>
        <sz val="8"/>
        <color rgb="FF000000"/>
        <rFont val="Arial"/>
      </rPr>
      <t>GRI Standards disclosure GRI 102-08: Information on employees and other workers.</t>
    </r>
    <r>
      <rPr>
        <sz val="8"/>
        <color rgb="FF000000"/>
        <rFont val="Arial"/>
      </rPr>
      <t xml:space="preserve"> </t>
    </r>
  </si>
  <si>
    <r>
      <rPr>
        <b/>
        <sz val="9"/>
        <color rgb="FF000000"/>
        <rFont val="Arial"/>
      </rPr>
      <t>Americas: South</t>
    </r>
    <r>
      <rPr>
        <b/>
        <vertAlign val="superscript"/>
        <sz val="9"/>
        <color rgb="FF000000"/>
        <rFont val="Arial"/>
      </rPr>
      <t>4</t>
    </r>
  </si>
  <si>
    <t>Americas: South</t>
  </si>
  <si>
    <r>
      <rPr>
        <vertAlign val="superscript"/>
        <sz val="8"/>
        <color rgb="FF000000"/>
        <rFont val="Arial"/>
      </rPr>
      <t xml:space="preserve">1 </t>
    </r>
    <r>
      <rPr>
        <sz val="8"/>
        <color rgb="FF000000"/>
        <rFont val="Arial"/>
      </rPr>
      <t xml:space="preserve">Significant 2018-2019 changes reflect the April 18, 2019 acquisition of Goldcorp and the omission of Nevada workforce due to the Nevada Gold Mines JV formation on July 1, 2019.
</t>
    </r>
    <r>
      <rPr>
        <vertAlign val="superscript"/>
        <sz val="8"/>
        <color rgb="FF000000"/>
        <rFont val="Arial"/>
      </rPr>
      <t>2</t>
    </r>
    <r>
      <rPr>
        <sz val="8"/>
        <color rgb="FF000000"/>
        <rFont val="Arial"/>
      </rPr>
      <t xml:space="preserve"> Australia region was once the Asia Pacific region and include</t>
    </r>
    <r>
      <rPr>
        <sz val="8"/>
        <color rgb="FF000000"/>
        <rFont val="Arial"/>
      </rPr>
      <t>d</t>
    </r>
    <r>
      <rPr>
        <sz val="8"/>
        <color rgb="FF000000"/>
        <rFont val="Arial"/>
      </rPr>
      <t xml:space="preserve"> the Batu Hijau operation in Indonesia, which was divested in 2016. Employees associated with reclamation in Indonesia are included in Australia employee count</t>
    </r>
    <r>
      <rPr>
        <sz val="8"/>
        <color rgb="FF000000"/>
        <rFont val="Arial"/>
      </rPr>
      <t>s</t>
    </r>
    <r>
      <rPr>
        <sz val="8"/>
        <color rgb="FF000000"/>
        <rFont val="Arial"/>
      </rPr>
      <t xml:space="preserve"> in 2017,  2018, and 2019 and total two employees in 2019.
</t>
    </r>
    <r>
      <rPr>
        <vertAlign val="superscript"/>
        <sz val="8"/>
        <color rgb="FF000000"/>
        <rFont val="Arial"/>
      </rPr>
      <t>3</t>
    </r>
    <r>
      <rPr>
        <sz val="8"/>
        <color rgb="FF000000"/>
        <rFont val="Arial"/>
      </rPr>
      <t xml:space="preserve"> </t>
    </r>
    <r>
      <rPr>
        <sz val="8"/>
        <color rgb="FF000000"/>
        <rFont val="Arial"/>
      </rPr>
      <t>Two employees located in France and seven employees located in Barbados are reported under the North America Region for consolidated reporting purposes.</t>
    </r>
    <r>
      <rPr>
        <sz val="8"/>
        <color rgb="FF000000"/>
        <rFont val="Arial"/>
      </rPr>
      <t xml:space="preserve">  
</t>
    </r>
    <r>
      <rPr>
        <vertAlign val="superscript"/>
        <sz val="8"/>
        <color rgb="FF000000"/>
        <rFont val="Arial"/>
      </rPr>
      <t xml:space="preserve">4 </t>
    </r>
    <r>
      <rPr>
        <sz val="8"/>
        <color rgb="FF000000"/>
        <rFont val="Arial"/>
      </rPr>
      <t xml:space="preserve">Forty two employees in Miami, U.S. are located in South America for consolidated reporting purposes.
</t>
    </r>
    <r>
      <rPr>
        <vertAlign val="superscript"/>
        <sz val="8"/>
        <color rgb="FF000000"/>
        <rFont val="Arial"/>
      </rPr>
      <t>5</t>
    </r>
    <r>
      <rPr>
        <vertAlign val="superscript"/>
        <sz val="8"/>
        <color rgb="FF000000"/>
        <rFont val="Arial"/>
      </rPr>
      <t xml:space="preserve"> </t>
    </r>
    <r>
      <rPr>
        <sz val="8"/>
        <color rgb="FF000000"/>
        <rFont val="Arial"/>
      </rPr>
      <t xml:space="preserve">GRI Standards disclosure GRI 102-08: Information on employees and other workers.
</t>
    </r>
    <r>
      <rPr>
        <sz val="8"/>
        <color rgb="FF000000"/>
        <rFont val="Arial"/>
      </rPr>
      <t xml:space="preserve">
</t>
    </r>
    <r>
      <rPr>
        <vertAlign val="superscript"/>
        <sz val="8"/>
        <color rgb="FF000000"/>
        <rFont val="Arial"/>
      </rPr>
      <t xml:space="preserve">
</t>
    </r>
    <r>
      <rPr>
        <sz val="8"/>
        <color rgb="FF000000"/>
        <rFont val="Arial"/>
      </rPr>
      <t/>
    </r>
  </si>
  <si>
    <r>
      <rPr>
        <vertAlign val="superscript"/>
        <sz val="8"/>
        <color rgb="FF000000"/>
        <rFont val="Arial"/>
      </rPr>
      <t xml:space="preserve">1 </t>
    </r>
    <r>
      <rPr>
        <sz val="8"/>
        <color rgb="FF000000"/>
        <rFont val="Arial"/>
      </rPr>
      <t xml:space="preserve">Significant 2018-2019 changes reflect the April 18, 2019 acquisition of Goldcorp and the omission of Nevada workforce due to the Nevada Gold Mines JV formation on July 1, 2019.
</t>
    </r>
    <r>
      <rPr>
        <vertAlign val="superscript"/>
        <sz val="8"/>
        <color rgb="FF000000"/>
        <rFont val="Arial"/>
      </rPr>
      <t>2</t>
    </r>
    <r>
      <rPr>
        <sz val="8"/>
        <color rgb="FF000000"/>
        <rFont val="Arial"/>
      </rPr>
      <t xml:space="preserve"> Four contractors in Haiti are located in North America for consolidated reporting purposes in 2020. 
</t>
    </r>
    <r>
      <rPr>
        <vertAlign val="superscript"/>
        <sz val="8"/>
        <color rgb="FF000000"/>
        <rFont val="Arial"/>
      </rPr>
      <t>3</t>
    </r>
    <r>
      <rPr>
        <sz val="8"/>
        <color rgb="FF000000"/>
        <rFont val="Arial"/>
      </rPr>
      <t xml:space="preserve"> GRI Standards disclosure GRI 102-08: Information on employees and other workers.</t>
    </r>
  </si>
  <si>
    <t>WORKFORCE: COMPENSATION AND EQUAL REMUNERATION</t>
  </si>
  <si>
    <t>Number of female employees</t>
  </si>
  <si>
    <t>Average female salary</t>
  </si>
  <si>
    <t>Number of male employees</t>
  </si>
  <si>
    <t>Average male salary</t>
  </si>
  <si>
    <t>Ratio female/male average salary</t>
  </si>
  <si>
    <t>Senior Leadership</t>
  </si>
  <si>
    <t>People Manager</t>
  </si>
  <si>
    <t>Individual Contributors</t>
  </si>
  <si>
    <t>Operators and Maintainers</t>
  </si>
  <si>
    <r>
      <rPr>
        <vertAlign val="superscript"/>
        <sz val="8"/>
        <color rgb="FF000000"/>
        <rFont val="Arial"/>
      </rPr>
      <t xml:space="preserve">1 </t>
    </r>
    <r>
      <rPr>
        <sz val="8"/>
        <color rgb="FF000000"/>
        <rFont val="Arial"/>
      </rPr>
      <t>GRI Standards disclosure 405-2: Ratio of basic salary and remuneration of women to men.</t>
    </r>
  </si>
  <si>
    <r>
      <rPr>
        <vertAlign val="superscript"/>
        <sz val="8"/>
        <color rgb="FF000000"/>
        <rFont val="Arial"/>
      </rPr>
      <t xml:space="preserve">1 </t>
    </r>
    <r>
      <rPr>
        <vertAlign val="superscript"/>
        <sz val="8"/>
        <color rgb="FF000000"/>
        <rFont val="Arial"/>
      </rPr>
      <t xml:space="preserve"> </t>
    </r>
    <r>
      <rPr>
        <sz val="8"/>
        <color rgb="FF000000"/>
        <rFont val="Arial"/>
      </rPr>
      <t xml:space="preserve">Countries with fewer than 10 employees by gender are excluded for privacy purposes.
</t>
    </r>
    <r>
      <rPr>
        <vertAlign val="superscript"/>
        <sz val="8"/>
        <color rgb="FF000000"/>
        <rFont val="Arial"/>
      </rPr>
      <t xml:space="preserve">2 </t>
    </r>
    <r>
      <rPr>
        <vertAlign val="superscript"/>
        <sz val="8"/>
        <color rgb="FF000000"/>
        <rFont val="Arial"/>
      </rPr>
      <t xml:space="preserve"> </t>
    </r>
    <r>
      <rPr>
        <sz val="8"/>
        <color rgb="FF000000"/>
        <rFont val="Arial"/>
      </rPr>
      <t xml:space="preserve">Table represents average of all salaries, regardless of level of position. For an additional compensation comparison disclosure, please see p. 44 of our 2020 Proxy Statement.
</t>
    </r>
    <r>
      <rPr>
        <vertAlign val="superscript"/>
        <sz val="8"/>
        <color rgb="FF000000"/>
        <rFont val="Arial"/>
      </rPr>
      <t>3</t>
    </r>
    <r>
      <rPr>
        <vertAlign val="superscript"/>
        <sz val="8"/>
        <color rgb="FF000000"/>
        <rFont val="Arial"/>
      </rPr>
      <t xml:space="preserve"> </t>
    </r>
    <r>
      <rPr>
        <vertAlign val="superscript"/>
        <sz val="8"/>
        <color rgb="FF000000"/>
        <rFont val="Arial"/>
      </rPr>
      <t xml:space="preserve"> </t>
    </r>
    <r>
      <rPr>
        <sz val="8"/>
        <color rgb="FF000000"/>
        <rFont val="Arial"/>
      </rPr>
      <t>GRI Standards disclosure 405-2: Ratio of basic salary and remuneration of women to men.</t>
    </r>
    <r>
      <rPr>
        <sz val="8"/>
        <color rgb="FF000000"/>
        <rFont val="Arial"/>
      </rPr>
      <t xml:space="preserve"> </t>
    </r>
  </si>
  <si>
    <t>WORKFORCE: DIVERSITY AND INCLUSION</t>
  </si>
  <si>
    <t>Female</t>
  </si>
  <si>
    <t>Male</t>
  </si>
  <si>
    <t>Age under 30: No. employees</t>
  </si>
  <si>
    <t>Age under 30: % employees</t>
  </si>
  <si>
    <t>Age 30-50: No. employees</t>
  </si>
  <si>
    <t>Age 30-50: % employees</t>
  </si>
  <si>
    <t>Age over 50: No. employees</t>
  </si>
  <si>
    <t>Age over 50: % employees</t>
  </si>
  <si>
    <r>
      <rPr>
        <b/>
        <sz val="10"/>
        <color rgb="FF000000"/>
        <rFont val="Arial"/>
      </rPr>
      <t>Total number employees all categories</t>
    </r>
    <r>
      <rPr>
        <b/>
        <vertAlign val="superscript"/>
        <sz val="10"/>
        <color rgb="FF000000"/>
        <rFont val="Arial"/>
      </rPr>
      <t>1</t>
    </r>
  </si>
  <si>
    <t>Total % by category -  all ages</t>
  </si>
  <si>
    <t>Senior leadership</t>
  </si>
  <si>
    <r>
      <rPr>
        <b/>
        <sz val="10"/>
        <color rgb="FF000000"/>
        <rFont val="Arial"/>
      </rPr>
      <t>Board of Directors</t>
    </r>
    <r>
      <rPr>
        <b/>
        <vertAlign val="superscript"/>
        <sz val="10"/>
        <color rgb="FF000000"/>
        <rFont val="Arial"/>
      </rPr>
      <t>2</t>
    </r>
  </si>
  <si>
    <t>&lt;1%</t>
  </si>
  <si>
    <t>People manager</t>
  </si>
  <si>
    <t>Executive leadership team</t>
  </si>
  <si>
    <t>Individual contributors</t>
  </si>
  <si>
    <t>Operators and maintainers</t>
  </si>
  <si>
    <r>
      <rPr>
        <vertAlign val="superscript"/>
        <sz val="8"/>
        <color rgb="FF000000"/>
        <rFont val="Arial"/>
      </rPr>
      <t>1</t>
    </r>
    <r>
      <rPr>
        <vertAlign val="superscript"/>
        <sz val="8"/>
        <color rgb="FF000000"/>
        <rFont val="Arial"/>
      </rPr>
      <t xml:space="preserve"> </t>
    </r>
    <r>
      <rPr>
        <vertAlign val="superscript"/>
        <sz val="8"/>
        <color rgb="FF000000"/>
        <rFont val="Arial"/>
      </rPr>
      <t xml:space="preserve"> </t>
    </r>
    <r>
      <rPr>
        <sz val="8"/>
        <color rgb="FF000000"/>
        <rFont val="Arial"/>
      </rPr>
      <t xml:space="preserve">8 employees excluded that did not disclose gender
</t>
    </r>
    <r>
      <rPr>
        <vertAlign val="superscript"/>
        <sz val="8"/>
        <color rgb="FF000000"/>
        <rFont val="Arial"/>
      </rPr>
      <t>2</t>
    </r>
    <r>
      <rPr>
        <vertAlign val="superscript"/>
        <sz val="8"/>
        <color rgb="FF000000"/>
        <rFont val="Arial"/>
      </rPr>
      <t xml:space="preserve"> </t>
    </r>
    <r>
      <rPr>
        <vertAlign val="superscript"/>
        <sz val="8"/>
        <color rgb="FF000000"/>
        <rFont val="Arial"/>
      </rPr>
      <t xml:space="preserve"> </t>
    </r>
    <r>
      <rPr>
        <sz val="8"/>
        <color rgb="FF000000"/>
        <rFont val="Arial"/>
      </rPr>
      <t>GRI Standards disclosure 405-1: Diversity of governance bodies and employees.</t>
    </r>
  </si>
  <si>
    <r>
      <rPr>
        <vertAlign val="superscript"/>
        <sz val="8"/>
        <color rgb="FF000000"/>
        <rFont val="Arial"/>
      </rPr>
      <t xml:space="preserve">1 </t>
    </r>
    <r>
      <rPr>
        <sz val="8"/>
        <color rgb="FF000000"/>
        <rFont val="Arial"/>
      </rPr>
      <t xml:space="preserve">Total employees all categories excludes 31 employees where age is not available.
</t>
    </r>
    <r>
      <rPr>
        <vertAlign val="superscript"/>
        <sz val="8"/>
        <color rgb="FF000000"/>
        <rFont val="Arial"/>
      </rPr>
      <t>2</t>
    </r>
    <r>
      <rPr>
        <sz val="8"/>
        <color rgb="FF000000"/>
        <rFont val="Arial"/>
      </rPr>
      <t xml:space="preserve"> </t>
    </r>
    <r>
      <rPr>
        <sz val="8"/>
        <color rgb="FF000000"/>
        <rFont val="Arial"/>
      </rPr>
      <t>GRI Standards disclosure 405-1: Diversity of governance bodies and employees.</t>
    </r>
    <r>
      <rPr>
        <sz val="8"/>
        <color rgb="FF000000"/>
        <rFont val="Arial"/>
      </rPr>
      <t xml:space="preserve"> </t>
    </r>
  </si>
  <si>
    <t>Total employees</t>
  </si>
  <si>
    <r>
      <rPr>
        <vertAlign val="superscript"/>
        <sz val="8"/>
        <color rgb="FF000000"/>
        <rFont val="Arial"/>
      </rPr>
      <t xml:space="preserve">1 </t>
    </r>
    <r>
      <rPr>
        <sz val="8"/>
        <color rgb="FF000000"/>
        <rFont val="Arial"/>
      </rPr>
      <t xml:space="preserve">Beginning in 2016, we began reporting female representation to the tenth of a percent to better track our progress against our targets. Female representation includes all employees. Public targets discussed elsewhere in this report do not include fixed term positions such as internships and those with a contract that ends on a specific date. 
</t>
    </r>
    <r>
      <rPr>
        <vertAlign val="superscript"/>
        <sz val="8"/>
        <color rgb="FF000000"/>
        <rFont val="Arial"/>
      </rPr>
      <t>2</t>
    </r>
    <r>
      <rPr>
        <sz val="8"/>
        <color rgb="FF000000"/>
        <rFont val="Arial"/>
      </rPr>
      <t xml:space="preserve"> Our </t>
    </r>
    <r>
      <rPr>
        <sz val="8"/>
        <color rgb="FF000000"/>
        <rFont val="Arial"/>
      </rPr>
      <t xml:space="preserve">President and </t>
    </r>
    <r>
      <rPr>
        <sz val="8"/>
        <color rgb="FF000000"/>
        <rFont val="Arial"/>
      </rPr>
      <t xml:space="preserve">CEO </t>
    </r>
    <r>
      <rPr>
        <sz val="8"/>
        <color rgb="FF000000"/>
        <rFont val="Arial"/>
      </rPr>
      <t>is included</t>
    </r>
    <r>
      <rPr>
        <sz val="8"/>
        <color rgb="FF000000"/>
        <rFont val="Arial"/>
      </rPr>
      <t xml:space="preserve"> in the </t>
    </r>
    <r>
      <rPr>
        <sz val="8"/>
        <color rgb="FF000000"/>
        <rFont val="Arial"/>
      </rPr>
      <t>Board of directors</t>
    </r>
    <r>
      <rPr>
        <sz val="8"/>
        <color rgb="FF000000"/>
        <rFont val="Arial"/>
      </rPr>
      <t xml:space="preserve"> d</t>
    </r>
    <r>
      <rPr>
        <sz val="8"/>
        <color rgb="FF000000"/>
        <rFont val="Arial"/>
      </rPr>
      <t>ata</t>
    </r>
    <r>
      <rPr>
        <sz val="8"/>
        <color rgb="FF000000"/>
        <rFont val="Arial"/>
      </rPr>
      <t xml:space="preserve">.
</t>
    </r>
    <r>
      <rPr>
        <vertAlign val="superscript"/>
        <sz val="8"/>
        <color rgb="FF000000"/>
        <rFont val="Arial"/>
      </rPr>
      <t>3</t>
    </r>
    <r>
      <rPr>
        <sz val="8"/>
        <color rgb="FF000000"/>
        <rFont val="Arial"/>
      </rPr>
      <t xml:space="preserve"> </t>
    </r>
    <r>
      <rPr>
        <sz val="8"/>
        <color rgb="FF000000"/>
        <rFont val="Arial"/>
      </rPr>
      <t>GRI Standards disclosure 405-1: Diversity of governance bodies and employees.</t>
    </r>
    <r>
      <rPr>
        <sz val="8"/>
        <color rgb="FF000000"/>
        <rFont val="Arial"/>
      </rPr>
      <t xml:space="preserve"> </t>
    </r>
  </si>
  <si>
    <t>Corporate</t>
  </si>
  <si>
    <r>
      <rPr>
        <vertAlign val="superscript"/>
        <sz val="8"/>
        <color rgb="FF000000"/>
        <rFont val="Arial"/>
      </rPr>
      <t>1</t>
    </r>
    <r>
      <rPr>
        <vertAlign val="superscript"/>
        <sz val="8"/>
        <color rgb="FF000000"/>
        <rFont val="Arial"/>
      </rPr>
      <t xml:space="preserve"> </t>
    </r>
    <r>
      <rPr>
        <vertAlign val="superscript"/>
        <sz val="8"/>
        <color rgb="FF000000"/>
        <rFont val="Arial"/>
      </rPr>
      <t xml:space="preserve"> </t>
    </r>
    <r>
      <rPr>
        <sz val="8"/>
        <color rgb="FF000000"/>
        <rFont val="Arial"/>
      </rPr>
      <t>Other' category accounts for countries with fewer than 10 employees.</t>
    </r>
    <r>
      <rPr>
        <vertAlign val="superscript"/>
        <sz val="8"/>
        <color rgb="FF000000"/>
        <rFont val="Arial"/>
      </rPr>
      <t xml:space="preserve"> 
</t>
    </r>
    <r>
      <rPr>
        <vertAlign val="superscript"/>
        <sz val="8"/>
        <color rgb="FF000000"/>
        <rFont val="Arial"/>
      </rPr>
      <t>2</t>
    </r>
    <r>
      <rPr>
        <vertAlign val="superscript"/>
        <sz val="8"/>
        <color rgb="FF000000"/>
        <rFont val="Arial"/>
      </rPr>
      <t xml:space="preserve">  </t>
    </r>
    <r>
      <rPr>
        <sz val="8"/>
        <color rgb="FF000000"/>
        <rFont val="Arial"/>
      </rPr>
      <t xml:space="preserve">8 employees excluded that did not disclose gender.
</t>
    </r>
    <r>
      <rPr>
        <vertAlign val="superscript"/>
        <sz val="8"/>
        <color rgb="FF000000"/>
        <rFont val="Arial"/>
      </rPr>
      <t>3</t>
    </r>
    <r>
      <rPr>
        <sz val="8"/>
        <color rgb="FF000000"/>
        <rFont val="Arial"/>
      </rPr>
      <t xml:space="preserve"> </t>
    </r>
    <r>
      <rPr>
        <sz val="8"/>
        <color rgb="FF000000"/>
        <rFont val="Arial"/>
      </rPr>
      <t>GRI Standards disclosure 405-1: Diversity of governance bodies and employees.</t>
    </r>
  </si>
  <si>
    <t>WORKFORCE: LABOR MANAGEMENT RELATIONS</t>
  </si>
  <si>
    <r>
      <rPr>
        <b/>
        <sz val="10"/>
        <color rgb="FF000000"/>
        <rFont val="Arial"/>
      </rPr>
      <t>Percentage of workforce represented by union or workplace agreement: Trailing five year data</t>
    </r>
    <r>
      <rPr>
        <b/>
        <vertAlign val="superscript"/>
        <sz val="10"/>
        <color rgb="FF000000"/>
        <rFont val="Arial"/>
      </rPr>
      <t xml:space="preserve">1, </t>
    </r>
    <r>
      <rPr>
        <b/>
        <vertAlign val="superscript"/>
        <sz val="10"/>
        <color rgb="FF000000"/>
        <rFont val="Arial"/>
      </rPr>
      <t>6</t>
    </r>
  </si>
  <si>
    <t>Notification period</t>
  </si>
  <si>
    <t>Ghana - Collective bargaining agreements (CBAs) only</t>
  </si>
  <si>
    <t>Accra, Ahafo and Akyen</t>
  </si>
  <si>
    <t>3 months for any workforce reductions</t>
  </si>
  <si>
    <t>No strikes or lockouts exceeding one week's duration</t>
  </si>
  <si>
    <t>No non-technical delays other than those related to the COVID-19 pandemic</t>
  </si>
  <si>
    <t>Boddington, Tanami and Perth</t>
  </si>
  <si>
    <t>4 weeks</t>
  </si>
  <si>
    <r>
      <rPr>
        <vertAlign val="superscript"/>
        <sz val="8"/>
        <color rgb="FF000000"/>
        <rFont val="Arial"/>
      </rPr>
      <t xml:space="preserve">1 </t>
    </r>
    <r>
      <rPr>
        <vertAlign val="superscript"/>
        <sz val="8"/>
        <color rgb="FF000000"/>
        <rFont val="Arial"/>
      </rPr>
      <t xml:space="preserve"> </t>
    </r>
    <r>
      <rPr>
        <sz val="8"/>
        <color rgb="FF000000"/>
        <rFont val="Arial"/>
      </rPr>
      <t>SASB Metals and Mining Sustainability Accounting Standard: SASB: EM-MM-</t>
    </r>
    <r>
      <rPr>
        <sz val="8"/>
        <color rgb="FF000000"/>
        <rFont val="Arial"/>
      </rPr>
      <t>310a</t>
    </r>
    <r>
      <rPr>
        <sz val="8"/>
        <color rgb="FF000000"/>
        <rFont val="Arial"/>
      </rPr>
      <t xml:space="preserve">.2: </t>
    </r>
    <r>
      <rPr>
        <sz val="8"/>
        <color rgb="FF000000"/>
        <rFont val="Arial"/>
      </rPr>
      <t xml:space="preserve">Number and duration of strikes and lockouts.
</t>
    </r>
    <r>
      <rPr>
        <vertAlign val="superscript"/>
        <sz val="8"/>
        <color rgb="FF000000"/>
        <rFont val="Arial"/>
      </rPr>
      <t xml:space="preserve">2 </t>
    </r>
    <r>
      <rPr>
        <sz val="8"/>
        <color rgb="FF000000"/>
        <rFont val="Arial"/>
      </rPr>
      <t xml:space="preserve">GRI Standards Metals and Mining Sector Supplement MM4: Number of strikes and lockouts exceeding one week's duration by country. </t>
    </r>
  </si>
  <si>
    <r>
      <rPr>
        <vertAlign val="superscript"/>
        <sz val="8"/>
        <color rgb="FF000000"/>
        <rFont val="Arial"/>
      </rPr>
      <t xml:space="preserve">1 </t>
    </r>
    <r>
      <rPr>
        <sz val="8"/>
        <color rgb="FF000000"/>
        <rFont val="Arial"/>
      </rPr>
      <t xml:space="preserve">This does not reflect any delays due to COVID. See the COVID section of our report to see which sites went into Care and Maintenance. 
</t>
    </r>
    <r>
      <rPr>
        <vertAlign val="superscript"/>
        <sz val="8"/>
        <color rgb="FF000000"/>
        <rFont val="Arial"/>
      </rPr>
      <t>2</t>
    </r>
    <r>
      <rPr>
        <sz val="8"/>
        <color rgb="FF000000"/>
        <rFont val="Arial"/>
      </rPr>
      <t xml:space="preserve"> </t>
    </r>
    <r>
      <rPr>
        <sz val="8"/>
        <color rgb="FF000000"/>
        <rFont val="Arial"/>
      </rPr>
      <t xml:space="preserve">SASB Metals and Mining Sustainability Accounting Standard: SASB: EM-MM-210b.2: Number and duration of non-technical delays. 
</t>
    </r>
    <r>
      <rPr>
        <sz val="8"/>
        <color rgb="FF000000"/>
        <rFont val="Arial"/>
      </rPr>
      <t xml:space="preserve">
</t>
    </r>
    <r>
      <rPr>
        <sz val="8"/>
        <color rgb="FF000000"/>
        <rFont val="Arial"/>
      </rPr>
      <t/>
    </r>
  </si>
  <si>
    <t>Peñasquito and Mexico City</t>
  </si>
  <si>
    <t>2 weeks</t>
  </si>
  <si>
    <r>
      <rPr>
        <b/>
        <sz val="10"/>
        <color rgb="FF000000"/>
        <rFont val="Arial"/>
      </rPr>
      <t>Ghana</t>
    </r>
    <r>
      <rPr>
        <b/>
        <vertAlign val="superscript"/>
        <sz val="10"/>
        <color rgb="FF000000"/>
        <rFont val="Arial"/>
      </rPr>
      <t>2</t>
    </r>
  </si>
  <si>
    <t>Global - all workforce not covered by CBAs</t>
  </si>
  <si>
    <t>All employees, all sites</t>
  </si>
  <si>
    <t xml:space="preserve">Newmont's general workforce notification practices are governed by the Global Management of Change Standard and supporting guidelines which require a minimum of 2 weeks notice to personnel where these changes have site-wide, regional and/or global impacts. </t>
  </si>
  <si>
    <r>
      <rPr>
        <vertAlign val="superscript"/>
        <sz val="8"/>
        <color rgb="FF000000"/>
        <rFont val="Arial"/>
      </rPr>
      <t>1</t>
    </r>
    <r>
      <rPr>
        <sz val="8"/>
        <color rgb="FF000000"/>
        <rFont val="Arial"/>
      </rPr>
      <t xml:space="preserve"> </t>
    </r>
    <r>
      <rPr>
        <sz val="8"/>
        <color rgb="FF000000"/>
        <rFont val="Arial"/>
      </rPr>
      <t xml:space="preserve">2020 COVID-19 workforce notifications are omitted from this data table. Ongoing workforce updates and notifications specific to COVID-19 impacts are available at Newmont.com.
</t>
    </r>
    <r>
      <rPr>
        <vertAlign val="superscript"/>
        <sz val="8"/>
        <color rgb="FF000000"/>
        <rFont val="Arial"/>
      </rPr>
      <t>2</t>
    </r>
    <r>
      <rPr>
        <sz val="8"/>
        <color rgb="FF000000"/>
        <rFont val="Arial"/>
      </rPr>
      <t xml:space="preserve"> </t>
    </r>
    <r>
      <rPr>
        <sz val="8"/>
        <color rgb="FF000000"/>
        <rFont val="Arial"/>
      </rPr>
      <t xml:space="preserve">GRI Standards disclosure GRI 402-1 - Minimum notice periods regarding operational changes. </t>
    </r>
  </si>
  <si>
    <r>
      <rPr>
        <b/>
        <sz val="10"/>
        <color rgb="FF000000"/>
        <rFont val="Arial"/>
      </rPr>
      <t>Other</t>
    </r>
    <r>
      <rPr>
        <b/>
        <vertAlign val="superscript"/>
        <sz val="10"/>
        <color rgb="FF000000"/>
        <rFont val="Arial"/>
      </rPr>
      <t>3</t>
    </r>
  </si>
  <si>
    <r>
      <rPr>
        <b/>
        <sz val="10"/>
        <color rgb="FF000000"/>
        <rFont val="Arial"/>
      </rPr>
      <t>U.S.</t>
    </r>
    <r>
      <rPr>
        <b/>
        <vertAlign val="superscript"/>
        <sz val="10"/>
        <color rgb="FF000000"/>
        <rFont val="Arial"/>
      </rPr>
      <t>4</t>
    </r>
  </si>
  <si>
    <r>
      <rPr>
        <b/>
        <sz val="10"/>
        <color rgb="FF000000"/>
        <rFont val="Arial"/>
      </rPr>
      <t>Total</t>
    </r>
    <r>
      <rPr>
        <b/>
        <vertAlign val="superscript"/>
        <sz val="10"/>
        <color rgb="FF000000"/>
        <rFont val="Arial"/>
      </rPr>
      <t>5</t>
    </r>
  </si>
  <si>
    <r>
      <rPr>
        <vertAlign val="superscript"/>
        <sz val="8"/>
        <color rgb="FF000000"/>
        <rFont val="Arial"/>
      </rPr>
      <t>1</t>
    </r>
    <r>
      <rPr>
        <sz val="8"/>
        <color rgb="FF000000"/>
        <rFont val="Arial"/>
      </rPr>
      <t xml:space="preserve"> </t>
    </r>
    <r>
      <rPr>
        <sz val="8"/>
        <color rgb="FF000000"/>
        <rFont val="Arial"/>
      </rPr>
      <t>Country data marked as 'N/A' (not applicable) represent year(s) when Newmont did not have workforce in that country</t>
    </r>
    <r>
      <rPr>
        <sz val="8"/>
        <color rgb="FF000000"/>
        <rFont val="Arial"/>
      </rPr>
      <t xml:space="preserve">. 
</t>
    </r>
    <r>
      <rPr>
        <vertAlign val="superscript"/>
        <sz val="8"/>
        <color rgb="FF000000"/>
        <rFont val="Arial"/>
      </rPr>
      <t>2</t>
    </r>
    <r>
      <rPr>
        <sz val="8"/>
        <color rgb="FF000000"/>
        <rFont val="Arial"/>
      </rPr>
      <t xml:space="preserve"> </t>
    </r>
    <r>
      <rPr>
        <sz val="8"/>
        <color rgb="FF000000"/>
        <rFont val="Arial"/>
      </rPr>
      <t xml:space="preserve">Workplace agreement in Ghana represents Junior and Senior Staff members only.
</t>
    </r>
    <r>
      <rPr>
        <vertAlign val="superscript"/>
        <sz val="8"/>
        <color rgb="FF000000"/>
        <rFont val="Arial"/>
      </rPr>
      <t xml:space="preserve">3 </t>
    </r>
    <r>
      <rPr>
        <sz val="8"/>
        <color rgb="FF000000"/>
        <rFont val="Arial"/>
      </rPr>
      <t xml:space="preserve">Other accounts for countries with fewer than 10 employees. 
</t>
    </r>
    <r>
      <rPr>
        <vertAlign val="superscript"/>
        <sz val="8"/>
        <color rgb="FF000000"/>
        <rFont val="Arial"/>
      </rPr>
      <t>4</t>
    </r>
    <r>
      <rPr>
        <sz val="8"/>
        <color rgb="FF000000"/>
        <rFont val="Arial"/>
      </rPr>
      <t xml:space="preserve"> </t>
    </r>
    <r>
      <rPr>
        <sz val="8"/>
        <color rgb="FF000000"/>
        <rFont val="Arial"/>
      </rPr>
      <t xml:space="preserve">Significant 2018-2019 changes reflect the April 18, 2019 acquisition of Goldcorp and the omission of Nevada workforce due to the Nevada Gold Mines JV formation on July 1, 2019.
</t>
    </r>
    <r>
      <rPr>
        <vertAlign val="superscript"/>
        <sz val="8"/>
        <color rgb="FF000000"/>
        <rFont val="Arial"/>
      </rPr>
      <t>5</t>
    </r>
    <r>
      <rPr>
        <sz val="8"/>
        <color rgb="FF000000"/>
        <rFont val="Arial"/>
      </rPr>
      <t xml:space="preserve"> </t>
    </r>
    <r>
      <rPr>
        <sz val="8"/>
        <color rgb="FF000000"/>
        <rFont val="Arial"/>
      </rPr>
      <t xml:space="preserve">The Total figure here for 2020 does not match the Human Capital Management disclosure in the 2020 10-K due to different </t>
    </r>
    <r>
      <rPr>
        <sz val="8"/>
        <color rgb="FF000000"/>
        <rFont val="Arial"/>
      </rPr>
      <t xml:space="preserve">rounding.
</t>
    </r>
    <r>
      <rPr>
        <vertAlign val="superscript"/>
        <sz val="8"/>
        <color rgb="FF000000"/>
        <rFont val="Arial"/>
      </rPr>
      <t>6</t>
    </r>
    <r>
      <rPr>
        <sz val="8"/>
        <color rgb="FF000000"/>
        <rFont val="Arial"/>
      </rPr>
      <t xml:space="preserve"> </t>
    </r>
    <r>
      <rPr>
        <sz val="8"/>
        <color rgb="FF000000"/>
        <rFont val="Arial"/>
      </rPr>
      <t xml:space="preserve">GRI Standards disclosure GRI 102-41: Collective bargaining agreements.
</t>
    </r>
    <r>
      <rPr>
        <sz val="8"/>
        <color rgb="FF000000"/>
        <rFont val="Arial"/>
      </rPr>
      <t/>
    </r>
  </si>
  <si>
    <t>WORKFORCE: TALENT ATTRACTION AND RETENTION</t>
  </si>
  <si>
    <t>Employee initiated</t>
  </si>
  <si>
    <t>Company initiated</t>
  </si>
  <si>
    <t>Total turnover</t>
  </si>
  <si>
    <t>Turnover rate</t>
  </si>
  <si>
    <r>
      <rPr>
        <b/>
        <sz val="10"/>
        <color rgb="FF000000"/>
        <rFont val="Arial"/>
      </rPr>
      <t>Employee turnover by gender and initiation: Trailing five year data</t>
    </r>
    <r>
      <rPr>
        <b/>
        <vertAlign val="superscript"/>
        <sz val="10"/>
        <color rgb="FF000000"/>
        <rFont val="Arial"/>
      </rPr>
      <t>1</t>
    </r>
  </si>
  <si>
    <t>Total new hires</t>
  </si>
  <si>
    <t>Percent of enterprise population</t>
  </si>
  <si>
    <t>Age</t>
  </si>
  <si>
    <t>Males</t>
  </si>
  <si>
    <t>By region</t>
  </si>
  <si>
    <t>&lt;30</t>
  </si>
  <si>
    <t>30 to 50</t>
  </si>
  <si>
    <r>
      <rPr>
        <vertAlign val="superscript"/>
        <sz val="8"/>
        <color rgb="FF000000"/>
        <rFont val="Arial"/>
      </rPr>
      <t>1</t>
    </r>
    <r>
      <rPr>
        <sz val="8"/>
        <color rgb="FF000000"/>
        <rFont val="Arial"/>
      </rPr>
      <t xml:space="preserve"> </t>
    </r>
    <r>
      <rPr>
        <sz val="8"/>
        <color rgb="FF000000"/>
        <rFont val="Arial"/>
      </rPr>
      <t xml:space="preserve">2019 data omits two withdrawn employees whose birth dates are not available. Significant 2018-2019 changes reflect the April 18, 2019 acquisition of Goldcorp and the omission of Nevada workforce due to the Nevada Gold Mines JV formation on July 1, 2019.
</t>
    </r>
    <r>
      <rPr>
        <vertAlign val="superscript"/>
        <sz val="8"/>
        <color rgb="FF000000"/>
        <rFont val="Arial"/>
      </rPr>
      <t xml:space="preserve">2 </t>
    </r>
    <r>
      <rPr>
        <sz val="8"/>
        <color rgb="FF000000"/>
        <rFont val="Arial"/>
      </rPr>
      <t xml:space="preserve">GRI Standards disclosure 401-1: New employee hires and employee turnover. </t>
    </r>
  </si>
  <si>
    <t>51+</t>
  </si>
  <si>
    <t>Total number of males</t>
  </si>
  <si>
    <r>
      <rPr>
        <sz val="10"/>
        <color rgb="FF000000"/>
        <rFont val="Arial"/>
      </rPr>
      <t>North America</t>
    </r>
    <r>
      <rPr>
        <vertAlign val="superscript"/>
        <sz val="10"/>
        <color rgb="FF000000"/>
        <rFont val="Arial"/>
      </rPr>
      <t>1</t>
    </r>
  </si>
  <si>
    <r>
      <rPr>
        <vertAlign val="superscript"/>
        <sz val="8"/>
        <color rgb="FF000000"/>
        <rFont val="Arial"/>
      </rPr>
      <t xml:space="preserve">1 </t>
    </r>
    <r>
      <rPr>
        <sz val="8"/>
        <color rgb="FF000000"/>
        <rFont val="Arial"/>
      </rPr>
      <t xml:space="preserve">Employees located in France and Barbados are reported under the North America region for consolidated reporting purposes.
</t>
    </r>
    <r>
      <rPr>
        <vertAlign val="superscript"/>
        <sz val="8"/>
        <color rgb="FF000000"/>
        <rFont val="Arial"/>
      </rPr>
      <t>2</t>
    </r>
    <r>
      <rPr>
        <sz val="8"/>
        <color rgb="FF000000"/>
        <rFont val="Arial"/>
      </rPr>
      <t xml:space="preserve"> </t>
    </r>
    <r>
      <rPr>
        <sz val="8"/>
        <color rgb="FF000000"/>
        <rFont val="Arial"/>
      </rPr>
      <t>Employees in Miami, U.S., the South America regional headquarters location in 20</t>
    </r>
    <r>
      <rPr>
        <sz val="8"/>
        <color rgb="FF000000"/>
        <rFont val="Arial"/>
      </rPr>
      <t>20</t>
    </r>
    <r>
      <rPr>
        <sz val="8"/>
        <color rgb="FF000000"/>
        <rFont val="Arial"/>
      </rPr>
      <t xml:space="preserve">, are counted as South America region employees for consolidated reporting purposes.
</t>
    </r>
    <r>
      <rPr>
        <vertAlign val="superscript"/>
        <sz val="8"/>
        <color rgb="FF000000"/>
        <rFont val="Arial"/>
      </rPr>
      <t xml:space="preserve">3 </t>
    </r>
    <r>
      <rPr>
        <sz val="8"/>
        <color rgb="FF000000"/>
        <rFont val="Arial"/>
      </rPr>
      <t xml:space="preserve">GRI Standards disclosure 401-1: New employee hires and employee turnover.
</t>
    </r>
    <r>
      <rPr>
        <vertAlign val="superscript"/>
        <sz val="8"/>
        <color rgb="FF000000"/>
        <rFont val="Arial"/>
      </rPr>
      <t xml:space="preserve"> </t>
    </r>
  </si>
  <si>
    <r>
      <rPr>
        <vertAlign val="superscript"/>
        <sz val="8"/>
        <color rgb="FF000000"/>
        <rFont val="Arial"/>
      </rPr>
      <t xml:space="preserve">1 </t>
    </r>
    <r>
      <rPr>
        <sz val="8"/>
        <color rgb="FF000000"/>
        <rFont val="Arial"/>
      </rPr>
      <t xml:space="preserve">GRI Standards disclosure 401-1: New employee hires and employee turnover.
</t>
    </r>
    <r>
      <rPr>
        <vertAlign val="superscript"/>
        <sz val="8"/>
        <color rgb="FF000000"/>
        <rFont val="Arial"/>
      </rPr>
      <t/>
    </r>
  </si>
  <si>
    <t>Company-initiated rate</t>
  </si>
  <si>
    <r>
      <rPr>
        <sz val="10"/>
        <color rgb="FF000000"/>
        <rFont val="Arial"/>
      </rPr>
      <t>South America</t>
    </r>
    <r>
      <rPr>
        <vertAlign val="superscript"/>
        <sz val="10"/>
        <color rgb="FF000000"/>
        <rFont val="Arial"/>
      </rPr>
      <t>2</t>
    </r>
  </si>
  <si>
    <t>Employee-initiated rate</t>
  </si>
  <si>
    <t xml:space="preserve">Total rate for males </t>
  </si>
  <si>
    <t>By gender</t>
  </si>
  <si>
    <t>Females</t>
  </si>
  <si>
    <t>Total number of females</t>
  </si>
  <si>
    <r>
      <rPr>
        <b/>
        <sz val="10"/>
        <color rgb="FF000000"/>
        <rFont val="Arial"/>
      </rPr>
      <t>New hires by age group</t>
    </r>
    <r>
      <rPr>
        <b/>
        <vertAlign val="superscript"/>
        <sz val="10"/>
        <color rgb="FF000000"/>
        <rFont val="Arial"/>
      </rPr>
      <t>3</t>
    </r>
  </si>
  <si>
    <t>Total rate for females</t>
  </si>
  <si>
    <r>
      <rPr>
        <vertAlign val="superscript"/>
        <sz val="8"/>
        <color rgb="FF000000"/>
        <rFont val="Arial"/>
      </rPr>
      <t xml:space="preserve">1 </t>
    </r>
    <r>
      <rPr>
        <sz val="8"/>
        <color rgb="FF000000"/>
        <rFont val="Arial"/>
      </rPr>
      <t>GRI Standards disclosure 401-1: New employee hires and employee turnover. Significant 2018-2019 changes reflect the April 18, 2019 acquisition of Goldcorp and the omission of Nevada workforce due to the Nevada Gold Mines JV formation on July 1, 2019.</t>
    </r>
  </si>
  <si>
    <r>
      <rPr>
        <b/>
        <sz val="10"/>
        <color rgb="FF000000"/>
        <rFont val="Arial"/>
      </rPr>
      <t>Total new hires</t>
    </r>
    <r>
      <rPr>
        <b/>
        <vertAlign val="superscript"/>
        <sz val="10"/>
        <color rgb="FF000000"/>
        <rFont val="Arial"/>
      </rPr>
      <t>3</t>
    </r>
  </si>
  <si>
    <r>
      <rPr>
        <vertAlign val="superscript"/>
        <sz val="8"/>
        <color rgb="FF000000"/>
        <rFont val="Arial"/>
      </rPr>
      <t xml:space="preserve">1 </t>
    </r>
    <r>
      <rPr>
        <sz val="8"/>
        <color rgb="FF000000"/>
        <rFont val="Arial"/>
      </rPr>
      <t xml:space="preserve">North America Region includes employees in Barbados and France for consolidated reporting purposes.
</t>
    </r>
    <r>
      <rPr>
        <vertAlign val="superscript"/>
        <sz val="8"/>
        <color rgb="FF000000"/>
        <rFont val="Arial"/>
      </rPr>
      <t xml:space="preserve">2 </t>
    </r>
    <r>
      <rPr>
        <sz val="8"/>
        <color rgb="FF000000"/>
        <rFont val="Arial"/>
      </rPr>
      <t xml:space="preserve">South America Region includes employees in Miami, U.S. for consolidated reporting purposes.
</t>
    </r>
    <r>
      <rPr>
        <vertAlign val="superscript"/>
        <sz val="8"/>
        <color rgb="FF000000"/>
        <rFont val="Arial"/>
      </rPr>
      <t xml:space="preserve">3 </t>
    </r>
    <r>
      <rPr>
        <sz val="8"/>
        <color rgb="FF000000"/>
        <rFont val="Arial"/>
      </rPr>
      <t xml:space="preserve">Total by age group excludes </t>
    </r>
    <r>
      <rPr>
        <sz val="8"/>
        <color rgb="FF000000"/>
        <rFont val="Arial"/>
      </rPr>
      <t>fiv</t>
    </r>
    <r>
      <rPr>
        <sz val="8"/>
        <color rgb="FF000000"/>
        <rFont val="Arial"/>
      </rPr>
      <t>e new hire</t>
    </r>
    <r>
      <rPr>
        <sz val="8"/>
        <color rgb="FF000000"/>
        <rFont val="Arial"/>
      </rPr>
      <t>s</t>
    </r>
    <r>
      <rPr>
        <sz val="8"/>
        <color rgb="FF000000"/>
        <rFont val="Arial"/>
      </rPr>
      <t xml:space="preserve"> whose birth date is not available.
</t>
    </r>
    <r>
      <rPr>
        <vertAlign val="superscript"/>
        <sz val="8"/>
        <color rgb="FF000000"/>
        <rFont val="Arial"/>
      </rPr>
      <t xml:space="preserve">4 </t>
    </r>
    <r>
      <rPr>
        <sz val="8"/>
        <color rgb="FF000000"/>
        <rFont val="Arial"/>
      </rPr>
      <t xml:space="preserve">GRI Standards disclosure GRI 401-1: New employee hires and employee turnover.
</t>
    </r>
    <r>
      <rPr>
        <sz val="8"/>
        <color rgb="FF000000"/>
        <rFont val="Arial"/>
      </rPr>
      <t/>
    </r>
  </si>
  <si>
    <t>WORKFORCE: TRAINING AND PROFESSIONAL DEVELOPMENT</t>
  </si>
  <si>
    <t>Number of Female Employees</t>
  </si>
  <si>
    <t>Number of females who have received performance reviews</t>
  </si>
  <si>
    <t>% Females who have performance reviews</t>
  </si>
  <si>
    <t>Number of males who have received performance reviews</t>
  </si>
  <si>
    <t>% Males who have received performance reviews</t>
  </si>
  <si>
    <r>
      <rPr>
        <b/>
        <sz val="10"/>
        <color rgb="FF000000"/>
        <rFont val="Arial"/>
      </rPr>
      <t>Training and development investment spending and hours: Trailing five year data</t>
    </r>
    <r>
      <rPr>
        <b/>
        <vertAlign val="superscript"/>
        <sz val="10"/>
        <color rgb="FF000000"/>
        <rFont val="Arial"/>
      </rPr>
      <t>1, 2</t>
    </r>
  </si>
  <si>
    <r>
      <rPr>
        <b/>
        <sz val="10"/>
        <color rgb="FF000000"/>
        <rFont val="Arial"/>
      </rPr>
      <t>Average hours of training per year, per employee by employee category: Trailing five year data</t>
    </r>
    <r>
      <rPr>
        <b/>
        <vertAlign val="superscript"/>
        <sz val="10"/>
        <color rgb="FF000000"/>
        <rFont val="Arial"/>
      </rPr>
      <t>1,2</t>
    </r>
  </si>
  <si>
    <t>Total ($ million)</t>
  </si>
  <si>
    <t>Total (hours)</t>
  </si>
  <si>
    <r>
      <rPr>
        <vertAlign val="superscript"/>
        <sz val="8"/>
        <color rgb="FF000000"/>
        <rFont val="Arial"/>
      </rPr>
      <t xml:space="preserve">1 </t>
    </r>
    <r>
      <rPr>
        <sz val="8"/>
        <color rgb="FF000000"/>
        <rFont val="Arial"/>
      </rPr>
      <t xml:space="preserve">The CC&amp;V operation is excluded from 2019 data due to changes related to the Nevada Gold Mines JV. The Red Lake site, which was divested in the first quarter of 2020, is excluded from this table. Significant 2018-2019 changes reflect the April 18, 2019 acquisition of Goldcorp and the omission of Nevada workforce due to the Nevada Gold Mines JV formation on July 1, 2019. 
</t>
    </r>
    <r>
      <rPr>
        <vertAlign val="superscript"/>
        <sz val="8"/>
        <color rgb="FF000000"/>
        <rFont val="Arial"/>
      </rPr>
      <t xml:space="preserve">2 </t>
    </r>
    <r>
      <rPr>
        <sz val="8"/>
        <color rgb="FF000000"/>
        <rFont val="Arial"/>
      </rPr>
      <t xml:space="preserve">GRI Standards disclosure 404-1: Average hours of training per year per employee.
</t>
    </r>
    <r>
      <rPr>
        <sz val="8"/>
        <color rgb="FF000000"/>
        <rFont val="Arial"/>
      </rPr>
      <t/>
    </r>
  </si>
  <si>
    <t>Business support</t>
  </si>
  <si>
    <t>Operators &amp; maintainers</t>
  </si>
  <si>
    <r>
      <rPr>
        <vertAlign val="superscript"/>
        <sz val="8"/>
        <color rgb="FF000000"/>
        <rFont val="Arial"/>
      </rPr>
      <t xml:space="preserve">1 </t>
    </r>
    <r>
      <rPr>
        <vertAlign val="superscript"/>
        <sz val="8"/>
        <color rgb="FF000000"/>
        <rFont val="Arial"/>
      </rPr>
      <t xml:space="preserve"> </t>
    </r>
    <r>
      <rPr>
        <sz val="8"/>
        <color rgb="FF000000"/>
        <rFont val="Arial"/>
      </rPr>
      <t xml:space="preserve">The CC&amp;V operation is excluded from 2019 data due to changes related to the Nevada Gold Mines JV. The Red Lake site, which was divested in the first quarter of 2020, is excluded from this table.
</t>
    </r>
    <r>
      <rPr>
        <vertAlign val="superscript"/>
        <sz val="8"/>
        <color rgb="FF000000"/>
        <rFont val="Arial"/>
      </rPr>
      <t xml:space="preserve">2 </t>
    </r>
    <r>
      <rPr>
        <vertAlign val="superscript"/>
        <sz val="8"/>
        <color rgb="FF000000"/>
        <rFont val="Arial"/>
      </rPr>
      <t xml:space="preserve"> </t>
    </r>
    <r>
      <rPr>
        <sz val="8"/>
        <color rgb="FF000000"/>
        <rFont val="Arial"/>
      </rPr>
      <t>GRI Standards disclosure 404-1: Average hours of training per year per employee.</t>
    </r>
    <r>
      <rPr>
        <sz val="8"/>
        <color rgb="FF000000"/>
        <rFont val="Arial"/>
      </rPr>
      <t xml:space="preserve"> </t>
    </r>
  </si>
  <si>
    <r>
      <rPr>
        <vertAlign val="superscript"/>
        <sz val="8"/>
        <color rgb="FF000000"/>
        <rFont val="Arial"/>
      </rPr>
      <t xml:space="preserve">1 </t>
    </r>
    <r>
      <rPr>
        <sz val="8"/>
        <color rgb="FF000000"/>
        <rFont val="Arial"/>
      </rPr>
      <t>GRI Standards disclosure 404-1: Average hours of training per year per employee.</t>
    </r>
  </si>
  <si>
    <r>
      <rPr>
        <vertAlign val="superscript"/>
        <sz val="8"/>
        <color rgb="FF000000"/>
        <rFont val="Arial"/>
      </rPr>
      <t xml:space="preserve">1 </t>
    </r>
    <r>
      <rPr>
        <vertAlign val="superscript"/>
        <sz val="8"/>
        <color rgb="FF000000"/>
        <rFont val="Arial"/>
      </rPr>
      <t xml:space="preserve"> </t>
    </r>
    <r>
      <rPr>
        <sz val="8"/>
        <color rgb="FF000000"/>
        <rFont val="Arial"/>
      </rPr>
      <t xml:space="preserve">Some of these numbers are over 100% because there were some people who had performance reviews and then left the company before they were counted in the year end employee numbers.
</t>
    </r>
    <r>
      <rPr>
        <vertAlign val="superscript"/>
        <sz val="8"/>
        <color rgb="FF000000"/>
        <rFont val="Arial"/>
      </rPr>
      <t>2</t>
    </r>
    <r>
      <rPr>
        <sz val="8"/>
        <color rgb="FF000000"/>
        <rFont val="Arial"/>
      </rPr>
      <t xml:space="preserve"> </t>
    </r>
    <r>
      <rPr>
        <sz val="8"/>
        <color rgb="FF000000"/>
        <rFont val="Arial"/>
      </rPr>
      <t>GRI Standards disclosure 404-3: Percentage of employees receiving regular performance and career development reviews</t>
    </r>
    <r>
      <rPr>
        <sz val="8"/>
        <color rgb="FF000000"/>
        <rFont val="Arial"/>
      </rPr>
      <t>.</t>
    </r>
    <r>
      <rPr>
        <sz val="8"/>
        <color rgb="FF000000"/>
        <rFont val="Arial"/>
      </rPr>
      <t xml:space="preserve"> 
</t>
    </r>
    <r>
      <rPr>
        <sz val="8"/>
        <color rgb="FF000000"/>
        <rFont val="Arial"/>
      </rPr>
      <t/>
    </r>
  </si>
  <si>
    <t>GEO (Briana)</t>
  </si>
  <si>
    <t>GEO (10-K)</t>
  </si>
  <si>
    <t>Porcupine / Borden</t>
  </si>
  <si>
    <r>
      <rPr>
        <sz val="10"/>
        <color rgb="FF000000"/>
        <rFont val="Arial"/>
        <family val="2"/>
      </rPr>
      <t>On the night of May 24</t>
    </r>
    <r>
      <rPr>
        <vertAlign val="superscript"/>
        <sz val="10"/>
        <color rgb="FF000000"/>
        <rFont val="Arial"/>
        <family val="2"/>
      </rPr>
      <t>th</t>
    </r>
    <r>
      <rPr>
        <sz val="10"/>
        <color rgb="FF000000"/>
        <rFont val="Arial"/>
        <family val="2"/>
      </rPr>
      <t xml:space="preserve"> 2020 the ADR 1 Plant sustained a power bump that caused the sump pump in the refinery to lose power. During this time fresh water used for the E-Cell scrubber pump began to fill the sump area and lower furnace area. Once this area was at capacity the flow began to exit the building under the closed garage door out front of the refinery. The flow was noticed on 5-25-2020 on the front apron and the sump was re-racked and turned back on. All of the water released from the refinery collected in a parking ditch and a low spot in the parking lot located in front of the Refinery.  Samples of the released solution were collected, ponded solution was pumped back into the refinery, and contaminated soil excavated and placed on VLF 1.  </t>
    </r>
  </si>
  <si>
    <t>All 2020 reports filed by lobbyists representing Newmont (both internal government relations employees and external representatives) are available from the U.S. House of Representatives, using this link. 
https://disclosurespreview.house.gov/?index=%22lobbying-disclosures%22&amp;size=10&amp;keyword=%22newmont%22&amp;filters={%22reportYear%22:[%222020%22]}&amp;sort=[{%22_score%22:true},{%22field%22:%22registrant.name%22,%22order%22:%22asc%22}]</t>
  </si>
  <si>
    <r>
      <t>Biodiesel</t>
    </r>
    <r>
      <rPr>
        <vertAlign val="superscript"/>
        <sz val="8"/>
        <color theme="0"/>
        <rFont val="Arial"/>
        <family val="2"/>
      </rPr>
      <t>3</t>
    </r>
  </si>
  <si>
    <r>
      <t>Adverse effects on human health</t>
    </r>
    <r>
      <rPr>
        <b/>
        <vertAlign val="superscript"/>
        <sz val="10"/>
        <rFont val="Arial"/>
        <family val="2"/>
      </rPr>
      <t>2</t>
    </r>
  </si>
  <si>
    <r>
      <t>Impact to biodiversity</t>
    </r>
    <r>
      <rPr>
        <b/>
        <vertAlign val="superscript"/>
        <sz val="10"/>
        <rFont val="Arial"/>
        <family val="2"/>
      </rPr>
      <t>1</t>
    </r>
  </si>
  <si>
    <r>
      <t>Site has an ICMC Certification</t>
    </r>
    <r>
      <rPr>
        <b/>
        <vertAlign val="superscript"/>
        <sz val="10"/>
        <rFont val="Arial"/>
        <family val="2"/>
      </rPr>
      <t>2</t>
    </r>
  </si>
  <si>
    <r>
      <t>Americas: North</t>
    </r>
    <r>
      <rPr>
        <b/>
        <vertAlign val="superscript"/>
        <sz val="10"/>
        <rFont val="Arial"/>
        <family val="2"/>
      </rPr>
      <t>1</t>
    </r>
  </si>
  <si>
    <r>
      <t>Americas: South</t>
    </r>
    <r>
      <rPr>
        <b/>
        <vertAlign val="superscript"/>
        <sz val="10"/>
        <rFont val="Arial"/>
        <family val="2"/>
      </rPr>
      <t>2</t>
    </r>
  </si>
  <si>
    <r>
      <t>Employee turnover: Trailing five year data</t>
    </r>
    <r>
      <rPr>
        <b/>
        <vertAlign val="superscript"/>
        <sz val="10"/>
        <rFont val="Arial"/>
        <family val="2"/>
      </rPr>
      <t>1, 2</t>
    </r>
  </si>
  <si>
    <t>Performance data tables are presented in alphabetical order by category:</t>
  </si>
  <si>
    <t xml:space="preserve">About the data: figures, rounding, and intensity-based denominators </t>
  </si>
  <si>
    <t xml:space="preserve">Finding additional financial and non-financial information  </t>
  </si>
  <si>
    <t>Providing feedback</t>
  </si>
  <si>
    <t>About the 2020 ESG performance data</t>
  </si>
  <si>
    <t>Structure of the 2020 ESG performance data tables</t>
  </si>
  <si>
    <t>Between December 5 and 11, 2020, the site recorded pH values below the legal limit at DCP8 – the discharge commitment point in the Ocuchomachay Creek. The pH values ranged between 4.26 and 5.86 (legal limit is 6 to 9). The discharges at this monitoring point come from the Ocuchomachay pond, which is used to collect treated water from the Acid Water Treatment Plant (WTP) and the East Excess WTP. The low pH values are believed to have come from the Carchugo Pad construction activity where surface flows are collected by sediment ponds and pumped into the Ocuchomachay pond. Although this practice has not been declared in the Environmental Impact Assessment (EIA), it was implemented as a contingency in 2019 due to the increased water levels in the sediment ponds and the inability to discharge directly to the environment.  
On December 9, the site recorded another low pH value at the DCP9 location with a reading of 5.20. This was due to the transfer of water from the Ocuchomachay pond to the Arnacocha pond. The transfer was done due to heavy rains, which resulted in high volumes in the Ocuchomachay pond. The transfer was done to reduce the volume to safe operating levels. 
The baseline data from the EIA indicates an acid pH value as low as 4.2 (in the year 2000), associated with the mineralogy of the area.</t>
  </si>
  <si>
    <r>
      <rPr>
        <b/>
        <sz val="10"/>
        <color rgb="FF000000"/>
        <rFont val="Arial"/>
      </rPr>
      <t>Significant environmental and/or social events: Site level</t>
    </r>
    <r>
      <rPr>
        <b/>
        <vertAlign val="superscript"/>
        <sz val="10"/>
        <color rgb="FF000000"/>
        <rFont val="Arial"/>
      </rPr>
      <t>1, 2</t>
    </r>
  </si>
  <si>
    <r>
      <rPr>
        <b/>
        <sz val="10"/>
        <color rgb="FF000000"/>
        <rFont val="Arial"/>
      </rPr>
      <t>Fines paid for non-compliance with environmental, social or economic laws and regulations: Site level</t>
    </r>
    <r>
      <rPr>
        <b/>
        <vertAlign val="superscript"/>
        <sz val="10"/>
        <color rgb="FF000000"/>
        <rFont val="Arial"/>
      </rPr>
      <t>3</t>
    </r>
  </si>
  <si>
    <r>
      <rPr>
        <b/>
        <sz val="10"/>
        <color rgb="FF000000"/>
        <rFont val="Arial"/>
      </rPr>
      <t>Sanctions imposed for non-compliance with environmental or social laws and regulations: Site level</t>
    </r>
    <r>
      <rPr>
        <b/>
        <vertAlign val="superscript"/>
        <sz val="10"/>
        <color rgb="FF000000"/>
        <rFont val="Arial"/>
      </rPr>
      <t>1</t>
    </r>
  </si>
  <si>
    <r>
      <t>Production in countries that have the 20 lowest rankings in Transparency International's Corruption Perception Index</t>
    </r>
    <r>
      <rPr>
        <b/>
        <vertAlign val="superscript"/>
        <sz val="10"/>
        <color rgb="FF000000"/>
        <rFont val="Arial"/>
      </rPr>
      <t>1, 2</t>
    </r>
  </si>
  <si>
    <r>
      <rPr>
        <b/>
        <sz val="10"/>
        <color rgb="FF000000"/>
        <rFont val="Arial"/>
      </rPr>
      <t>Number and outcomes of substantiated ethics cases: Country level</t>
    </r>
    <r>
      <rPr>
        <b/>
        <vertAlign val="superscript"/>
        <sz val="10"/>
        <color rgb="FF000000"/>
        <rFont val="Arial"/>
      </rPr>
      <t>1</t>
    </r>
  </si>
  <si>
    <t>Nature and total number of ethics matters opened</t>
  </si>
  <si>
    <r>
      <t>Percentage of employees taking online code of conduct training and anti-corruption training for certain job grades (employees with work-issued computers)</t>
    </r>
    <r>
      <rPr>
        <vertAlign val="superscript"/>
        <sz val="10"/>
        <color rgb="FF000000"/>
        <rFont val="Arial"/>
      </rPr>
      <t>2</t>
    </r>
  </si>
  <si>
    <r>
      <t xml:space="preserve">
</t>
    </r>
    <r>
      <rPr>
        <vertAlign val="superscript"/>
        <sz val="8"/>
        <color rgb="FF000000"/>
        <rFont val="Arial"/>
      </rPr>
      <t xml:space="preserve">1 </t>
    </r>
    <r>
      <rPr>
        <sz val="8"/>
        <color rgb="FF000000"/>
        <rFont val="Arial"/>
      </rPr>
      <t xml:space="preserve">In 2020, we completed an overhaul of the process used to triage and categorize matters received through our Integrity Helpline process. This resulted in a re-baseline of data for 2020 forward which we believe more accurately reflects the nature of misconduct at Newmont.  In addition, certain matters such as conflicts of interest (COI) disclosures (as opposed to investigations) which were previously captured in the Integrity Helpline were moved to our COI Disclosure Platform.  Similarly, we also began to divide allegations received into escalated and non-escalated matters based on the nature of the allegations. COVID-19, process overhaul changes, divestitures and employees headcount reduction of ~2300 led to a decrease in the overall number of matters received and triaged as escalated investigations in 2020.
</t>
    </r>
    <r>
      <rPr>
        <vertAlign val="superscript"/>
        <sz val="8"/>
        <color rgb="FF000000"/>
        <rFont val="Arial"/>
      </rPr>
      <t xml:space="preserve">2 </t>
    </r>
    <r>
      <rPr>
        <sz val="8"/>
        <color rgb="FF000000"/>
        <rFont val="Arial"/>
      </rPr>
      <t xml:space="preserve">All matters opened in FY 2020. This includes cases, nominations and inquiries.
</t>
    </r>
    <r>
      <rPr>
        <vertAlign val="superscript"/>
        <sz val="8"/>
        <color rgb="FF000000"/>
        <rFont val="Arial"/>
      </rPr>
      <t xml:space="preserve">3 </t>
    </r>
    <r>
      <rPr>
        <sz val="8"/>
        <color rgb="FF000000"/>
        <rFont val="Arial"/>
      </rPr>
      <t xml:space="preserve">These are cases carried over from Q4 of the prior year and were still in process as of Jan 1, 2020.
</t>
    </r>
    <r>
      <rPr>
        <vertAlign val="superscript"/>
        <sz val="8"/>
        <color rgb="FF000000"/>
        <rFont val="Arial"/>
      </rPr>
      <t xml:space="preserve">4 </t>
    </r>
    <r>
      <rPr>
        <sz val="8"/>
        <color rgb="FF000000"/>
        <rFont val="Arial"/>
      </rPr>
      <t xml:space="preserve">All matters closed in FY 2020 (includes allegations, inquiries, nominations)
</t>
    </r>
    <r>
      <rPr>
        <vertAlign val="superscript"/>
        <sz val="8"/>
        <color rgb="FF000000"/>
        <rFont val="Arial"/>
      </rPr>
      <t xml:space="preserve">5 </t>
    </r>
    <r>
      <rPr>
        <sz val="8"/>
        <color rgb="FF000000"/>
        <rFont val="Arial"/>
      </rPr>
      <t xml:space="preserve">Total In-process allegations (escalated and non-escalated) on Dec 31st, 2020 
</t>
    </r>
    <r>
      <rPr>
        <vertAlign val="superscript"/>
        <sz val="8"/>
        <color rgb="FF000000"/>
        <rFont val="Arial"/>
      </rPr>
      <t xml:space="preserve">6 </t>
    </r>
    <r>
      <rPr>
        <sz val="8"/>
        <color rgb="FF000000"/>
        <rFont val="Arial"/>
      </rPr>
      <t xml:space="preserve">Total number of escalated allegations that were substantiated.
</t>
    </r>
    <r>
      <rPr>
        <vertAlign val="superscript"/>
        <sz val="8"/>
        <color rgb="FF000000"/>
        <rFont val="Arial"/>
      </rPr>
      <t xml:space="preserve">7 </t>
    </r>
    <r>
      <rPr>
        <sz val="8"/>
        <color rgb="FF000000"/>
        <rFont val="Arial"/>
      </rPr>
      <t xml:space="preserve">Newmont began categorizing the outcomes of human resources or management actions in 2017; detailed categorization for 2015 and 2016 of these cases were not reported (N/R). 
</t>
    </r>
    <r>
      <rPr>
        <vertAlign val="superscript"/>
        <sz val="8"/>
        <color rgb="FF000000"/>
        <rFont val="Arial"/>
      </rPr>
      <t xml:space="preserve">8 </t>
    </r>
    <r>
      <rPr>
        <sz val="8"/>
        <color rgb="FF000000"/>
        <rFont val="Arial"/>
      </rPr>
      <t xml:space="preserve">This only includes the number of allegations that resulted in some form of counseling or discipline. 
</t>
    </r>
    <r>
      <rPr>
        <vertAlign val="superscript"/>
        <sz val="8"/>
        <color rgb="FF000000"/>
        <rFont val="Arial"/>
      </rPr>
      <t xml:space="preserve">9 </t>
    </r>
    <r>
      <rPr>
        <sz val="8"/>
        <color rgb="FF000000"/>
        <rFont val="Arial"/>
      </rPr>
      <t xml:space="preserve">Number of allegations where parties involved were only counselled - does not include discipline or termination.
</t>
    </r>
    <r>
      <rPr>
        <vertAlign val="superscript"/>
        <sz val="8"/>
        <color rgb="FF000000"/>
        <rFont val="Arial"/>
      </rPr>
      <t xml:space="preserve">10 </t>
    </r>
    <r>
      <rPr>
        <sz val="8"/>
        <color rgb="FF000000"/>
        <rFont val="Arial"/>
      </rPr>
      <t xml:space="preserve">Number of allegations that resulted in one or more terminations. Includes a case that had a disciplinary action different from termination.
</t>
    </r>
    <r>
      <rPr>
        <vertAlign val="superscript"/>
        <sz val="8"/>
        <color rgb="FF000000"/>
        <rFont val="Arial"/>
      </rPr>
      <t xml:space="preserve">11 </t>
    </r>
    <r>
      <rPr>
        <sz val="8"/>
        <color rgb="FF000000"/>
        <rFont val="Arial"/>
      </rPr>
      <t xml:space="preserve">This includes all allegations closed in 2020 (even cases opened in 2019 and carried over).
</t>
    </r>
    <r>
      <rPr>
        <vertAlign val="superscript"/>
        <sz val="8"/>
        <color rgb="FF000000"/>
        <rFont val="Arial"/>
      </rPr>
      <t xml:space="preserve">12 </t>
    </r>
    <r>
      <rPr>
        <sz val="8"/>
        <color rgb="FF000000"/>
        <rFont val="Arial"/>
      </rPr>
      <t>Out of 284, 245 were allegations. Out of the 245, 171 were escalated. 171 is the total number of escalated allegations and 71 of these were substantiated.</t>
    </r>
  </si>
  <si>
    <r>
      <rPr>
        <vertAlign val="superscript"/>
        <sz val="8"/>
        <color rgb="FF000000"/>
        <rFont val="Arial"/>
      </rPr>
      <t xml:space="preserve">1 </t>
    </r>
    <r>
      <rPr>
        <sz val="8"/>
        <color rgb="FF000000"/>
        <rFont val="Arial"/>
      </rPr>
      <t xml:space="preserve">Transparency International's  lowest 20 countries (ranking #161-180) for 2020 in descending order are: Nicaragua, Cambodia, Chad, Iraq, Burundi, Congo, Turkmenistan, Haiti, Dominican Republic of Congo, Libya, Guinea Bissau, North Korea, Venezuela, Equatorial Guinea, Sudan, Afghanistan, Yemen, Syria, South Sudan, and Somalia. Source: https://www.transparency.org/cpi2020.. 
</t>
    </r>
    <r>
      <rPr>
        <vertAlign val="superscript"/>
        <sz val="8"/>
        <color rgb="FF000000"/>
        <rFont val="Arial"/>
      </rPr>
      <t>2</t>
    </r>
    <r>
      <rPr>
        <sz val="8"/>
        <color rgb="FF000000"/>
        <rFont val="Arial"/>
      </rPr>
      <t xml:space="preserve"> SASB Metals and Mining Sustainability Accounting Standard: SASB EM-MM-510a: Production in countries that have the 20 lowest rankings in TICP Index. </t>
    </r>
  </si>
  <si>
    <r>
      <rPr>
        <vertAlign val="superscript"/>
        <sz val="8"/>
        <color rgb="FF000000"/>
        <rFont val="Arial"/>
      </rPr>
      <t xml:space="preserve">1 </t>
    </r>
    <r>
      <rPr>
        <sz val="8"/>
        <color rgb="FF000000"/>
        <rFont val="Arial"/>
      </rPr>
      <t xml:space="preserve">Newmont began tracking in-person training in 2018.
</t>
    </r>
    <r>
      <rPr>
        <vertAlign val="superscript"/>
        <sz val="8"/>
        <color rgb="FF000000"/>
        <rFont val="Arial"/>
      </rPr>
      <t xml:space="preserve">2 </t>
    </r>
    <r>
      <rPr>
        <sz val="8"/>
        <color rgb="FF000000"/>
        <rFont val="Arial"/>
      </rPr>
      <t xml:space="preserve">In 2020, Newmont’s integrity and compliance training efforts were adapted due to the COVID-19 pandemic. Newmont delivered focused, targeted “virtual” training to high exposure roles and functions, including but not limited to Regional and Site Leadership teams, Sustainability &amp; External Relations, Security, Supply Chain, Exploration and new employees. More than 1,900 employees received such focused, targeted training designed for their roles. In 2020, Newmont also completed online training for 945 former Goldcorp employees (mainly located in Canada, Mexico and Argentina) on Newmont's Code of Conduct and related policies and standards. Due to the pandemic, the annual in-person training requirement was suspended, and the company-wide 2020 online training to be was deferred to Q1 2021. As of March 23, 2021, 86% of the 2020 online training had been completed.
</t>
    </r>
    <r>
      <rPr>
        <vertAlign val="superscript"/>
        <sz val="8"/>
        <color rgb="FF000000"/>
        <rFont val="Arial"/>
      </rPr>
      <t xml:space="preserve">3 </t>
    </r>
    <r>
      <rPr>
        <sz val="8"/>
        <color rgb="FF000000"/>
        <rFont val="Arial"/>
      </rPr>
      <t xml:space="preserve">GRI Standards disclosure GRI 205-2 Communication and Training about anti-corruption policies and procedures. 
</t>
    </r>
  </si>
  <si>
    <r>
      <rPr>
        <b/>
        <sz val="10"/>
        <color rgb="FF000000"/>
        <rFont val="Arial"/>
      </rPr>
      <t>Political contributions</t>
    </r>
    <r>
      <rPr>
        <b/>
        <vertAlign val="superscript"/>
        <sz val="10"/>
        <color rgb="FF000000"/>
        <rFont val="Arial"/>
      </rPr>
      <t>1,2</t>
    </r>
  </si>
  <si>
    <r>
      <rPr>
        <b/>
        <sz val="10"/>
        <color rgb="FF000000"/>
        <rFont val="Arial"/>
      </rPr>
      <t>Trade association dues: Amount and percentage attributable to political advocacy</t>
    </r>
    <r>
      <rPr>
        <b/>
        <vertAlign val="superscript"/>
        <sz val="10"/>
        <color rgb="FF000000"/>
        <rFont val="Arial"/>
      </rPr>
      <t>1</t>
    </r>
  </si>
  <si>
    <r>
      <rPr>
        <b/>
        <sz val="10"/>
        <color rgb="FF000000"/>
        <rFont val="Arial"/>
      </rPr>
      <t>U.S. lobbying activities</t>
    </r>
    <r>
      <rPr>
        <b/>
        <vertAlign val="superscript"/>
        <sz val="10"/>
        <color rgb="FF000000"/>
        <rFont val="Arial"/>
      </rPr>
      <t>1</t>
    </r>
  </si>
  <si>
    <r>
      <rPr>
        <vertAlign val="superscript"/>
        <sz val="8"/>
        <color rgb="FF000000"/>
        <rFont val="Arial"/>
      </rPr>
      <t>1</t>
    </r>
    <r>
      <rPr>
        <sz val="8"/>
        <color rgb="FF000000"/>
        <rFont val="Arial"/>
      </rPr>
      <t xml:space="preserve"> We have limited influence and no control over the political activities of Nevada Gold Mines joint venture (NGM). Nevertheless, our intention is to provide transparency consistent with the Company’s standards on political contributions and disclose NGM’s contributions as they relate to our 38.5% interest.  In addition, NGM may elect to contribute to organizations or candidates that would not comport with our approach to political engagement and disclosure. In 2020, NGM made $1,991,250 in political contributions to Nevada candidates and political action committees associated with Nevada campaigns according to the office of the Nevada Secretary of State (SOS) and NGM. This amount included $750,000 to the American Exceptionalism Institute, a 501(c)(4) fund commonly referred to as a “dark money” fund.  Such funds are not required by law to disclose the source of their funds.  Newmont was not involved in and did not approve any of these NGM contributions.  Newmont’s own political contributions standard does not allow contributions to dark money funds. Newmont has advised Barrick management that it does not support such contributions and that disclosure will be made consistent with our standards in our annual sustainability report.
</t>
    </r>
    <r>
      <rPr>
        <vertAlign val="superscript"/>
        <sz val="8"/>
        <color rgb="FF000000"/>
        <rFont val="Arial"/>
      </rPr>
      <t>2</t>
    </r>
    <r>
      <rPr>
        <sz val="8"/>
        <color rgb="FF000000"/>
        <rFont val="Arial"/>
      </rPr>
      <t xml:space="preserve"> GRI Standards disclosure GRI 415-1: Political Contributions.
</t>
    </r>
  </si>
  <si>
    <r>
      <rPr>
        <b/>
        <sz val="10"/>
        <color rgb="FF000000"/>
        <rFont val="Arial"/>
      </rPr>
      <t>NEWPAC contributions</t>
    </r>
    <r>
      <rPr>
        <b/>
        <vertAlign val="superscript"/>
        <sz val="10"/>
        <color rgb="FF000000"/>
        <rFont val="Arial"/>
      </rPr>
      <t>1</t>
    </r>
  </si>
  <si>
    <t>Policy Influence - Largest individual contributions and main topics</t>
  </si>
  <si>
    <r>
      <t>Policy Influence - Trailing 4 years data:</t>
    </r>
    <r>
      <rPr>
        <b/>
        <vertAlign val="superscript"/>
        <sz val="10"/>
        <color rgb="FF000000"/>
        <rFont val="Arial"/>
      </rPr>
      <t>1,2,3</t>
    </r>
  </si>
  <si>
    <r>
      <t>Air quality: Trailing five years data</t>
    </r>
    <r>
      <rPr>
        <b/>
        <vertAlign val="superscript"/>
        <sz val="10"/>
        <color rgb="FF000000"/>
        <rFont val="Arial"/>
      </rPr>
      <t>1,2</t>
    </r>
  </si>
  <si>
    <r>
      <rPr>
        <vertAlign val="superscript"/>
        <sz val="8"/>
        <color rgb="FF000000"/>
        <rFont val="Arial"/>
      </rPr>
      <t>1</t>
    </r>
    <r>
      <rPr>
        <sz val="8"/>
        <color rgb="FF000000"/>
        <rFont val="Arial"/>
      </rPr>
      <t xml:space="preserve"> TR refers to trace amounts, defined as &lt;0.0001; Figures for POPs, VOPs,  mercury, arsenic, lead and selenium are not reported for 2019 former Goldcorp sites, but will be reported in future years as reporting systems are integrated.
</t>
    </r>
    <r>
      <rPr>
        <vertAlign val="superscript"/>
        <sz val="8"/>
        <color rgb="FF000000"/>
        <rFont val="Arial"/>
      </rPr>
      <t>2</t>
    </r>
    <r>
      <rPr>
        <sz val="8"/>
        <color rgb="FF000000"/>
        <rFont val="Arial"/>
      </rPr>
      <t xml:space="preserve"> GRI Standards disclosures GRI 305-6: Emissions of ozone-depleting substances; GRI: 305-7: NO</t>
    </r>
    <r>
      <rPr>
        <vertAlign val="subscript"/>
        <sz val="8"/>
        <color rgb="FF000000"/>
        <rFont val="Arial"/>
      </rPr>
      <t>x</t>
    </r>
    <r>
      <rPr>
        <sz val="8"/>
        <color rgb="FF000000"/>
        <rFont val="Arial"/>
      </rPr>
      <t>, SO</t>
    </r>
    <r>
      <rPr>
        <vertAlign val="subscript"/>
        <sz val="8"/>
        <color rgb="FF000000"/>
        <rFont val="Arial"/>
      </rPr>
      <t>x</t>
    </r>
    <r>
      <rPr>
        <sz val="8"/>
        <color rgb="FF000000"/>
        <rFont val="Arial"/>
      </rPr>
      <t xml:space="preserve"> and other significant air emissions; and SASB Metals &amp; Mining Sustainability Accounting Standard EM-MM-120a.1: Air emissions of the following pollutants: (1) CO, (2) NO</t>
    </r>
    <r>
      <rPr>
        <vertAlign val="subscript"/>
        <sz val="8"/>
        <color rgb="FF000000"/>
        <rFont val="Arial"/>
      </rPr>
      <t>x</t>
    </r>
    <r>
      <rPr>
        <sz val="8"/>
        <color rgb="FF000000"/>
        <rFont val="Arial"/>
      </rPr>
      <t xml:space="preserve"> (excluding N</t>
    </r>
    <r>
      <rPr>
        <vertAlign val="subscript"/>
        <sz val="8"/>
        <color rgb="FF000000"/>
        <rFont val="Arial"/>
      </rPr>
      <t>2</t>
    </r>
    <r>
      <rPr>
        <sz val="8"/>
        <color rgb="FF000000"/>
        <rFont val="Arial"/>
      </rPr>
      <t>O), (3) SO</t>
    </r>
    <r>
      <rPr>
        <vertAlign val="subscript"/>
        <sz val="8"/>
        <color rgb="FF000000"/>
        <rFont val="Arial"/>
      </rPr>
      <t>x</t>
    </r>
    <r>
      <rPr>
        <sz val="8"/>
        <color rgb="FF000000"/>
        <rFont val="Arial"/>
      </rPr>
      <t>, (4) particulate matter (PM10), (5) mercury (Hg), (6) lead (Pb), and (7) volatile organic compounds (VOCs). The 2018 SO</t>
    </r>
    <r>
      <rPr>
        <vertAlign val="subscript"/>
        <sz val="8"/>
        <color rgb="FF000000"/>
        <rFont val="Arial"/>
      </rPr>
      <t>x</t>
    </r>
    <r>
      <rPr>
        <sz val="8"/>
        <color rgb="FF000000"/>
        <rFont val="Arial"/>
      </rPr>
      <t xml:space="preserve"> figure is restated on July 15, 2020. The restatement is based on adjustments made to the Suriname site operational engine runtime hours and emissions assumptions for 2018, resulting a higher figure for Suriname, and a higher overall figure for the 2018 SO</t>
    </r>
    <r>
      <rPr>
        <vertAlign val="subscript"/>
        <sz val="8"/>
        <color rgb="FF000000"/>
        <rFont val="Arial"/>
      </rPr>
      <t>x</t>
    </r>
    <r>
      <rPr>
        <sz val="8"/>
        <color rgb="FF000000"/>
        <rFont val="Arial"/>
      </rPr>
      <t xml:space="preserve"> emissions.
</t>
    </r>
  </si>
  <si>
    <r>
      <rPr>
        <b/>
        <sz val="10"/>
        <color rgb="FF000000"/>
        <rFont val="Arial"/>
      </rPr>
      <t>Total wildlife mortalities: Site level</t>
    </r>
    <r>
      <rPr>
        <b/>
        <vertAlign val="superscript"/>
        <sz val="10"/>
        <color rgb="FF000000"/>
        <rFont val="Arial"/>
      </rPr>
      <t>2,3</t>
    </r>
  </si>
  <si>
    <t>Not predicted to occur</t>
  </si>
  <si>
    <r>
      <rPr>
        <vertAlign val="superscript"/>
        <sz val="8"/>
        <color rgb="FF000000"/>
        <rFont val="Arial"/>
        <family val="2"/>
      </rPr>
      <t xml:space="preserve">1 </t>
    </r>
    <r>
      <rPr>
        <sz val="8"/>
        <color rgb="FF000000"/>
        <rFont val="Arial"/>
        <family val="2"/>
      </rPr>
      <t xml:space="preserve">Predicted to occur includes the potential that it may never occur. Many of our sites chose this as the most minimal option to support development of management plans. 
</t>
    </r>
    <r>
      <rPr>
        <vertAlign val="superscript"/>
        <sz val="8"/>
        <color rgb="FF000000"/>
        <rFont val="Arial"/>
        <family val="2"/>
      </rPr>
      <t xml:space="preserve">2 </t>
    </r>
    <r>
      <rPr>
        <sz val="8"/>
        <color rgb="FF000000"/>
        <rFont val="Arial"/>
        <family val="2"/>
      </rPr>
      <t>SASB EM-MM- 160a.2: Percentage of mine sites where acid rock drainage is: (1) predicted to occur, (2) actively mitigated, and (3) under treatment or remediation</t>
    </r>
  </si>
  <si>
    <r>
      <rPr>
        <b/>
        <sz val="10"/>
        <color rgb="FF000000"/>
        <rFont val="Arial"/>
      </rPr>
      <t>Estimated direct and indirect energy consumed by source: Site level (GJ)</t>
    </r>
    <r>
      <rPr>
        <b/>
        <vertAlign val="superscript"/>
        <sz val="10"/>
        <color rgb="FF000000"/>
        <rFont val="Arial"/>
      </rPr>
      <t>1,2</t>
    </r>
  </si>
  <si>
    <r>
      <rPr>
        <b/>
        <sz val="10"/>
        <color rgb="FF000000"/>
        <rFont val="Arial"/>
      </rPr>
      <t>Estimated greenhouse gas (GHG) emissions: Site level (tonnes CO2e)</t>
    </r>
    <r>
      <rPr>
        <b/>
        <vertAlign val="superscript"/>
        <sz val="10"/>
        <color rgb="FF000000"/>
        <rFont val="Arial"/>
      </rPr>
      <t>1, 2</t>
    </r>
  </si>
  <si>
    <t>Estimated Montreal Protocol refrigerant emissions: Site level (tonnes CO2e)</t>
  </si>
  <si>
    <r>
      <rPr>
        <b/>
        <sz val="10"/>
        <color rgb="FF000000"/>
        <rFont val="Arial"/>
      </rPr>
      <t>Estimated direct non-renewable energy consumed by source as percentage of total direct non-renewable energy consumed: Site level</t>
    </r>
    <r>
      <rPr>
        <b/>
        <vertAlign val="superscript"/>
        <sz val="10"/>
        <color rgb="FF000000"/>
        <rFont val="Arial"/>
      </rPr>
      <t>1</t>
    </r>
  </si>
  <si>
    <r>
      <rPr>
        <b/>
        <sz val="10"/>
        <color rgb="FF000000"/>
        <rFont val="Arial"/>
      </rPr>
      <t>Amount of land disturbed or rehabilitated: Site level (ha)</t>
    </r>
    <r>
      <rPr>
        <b/>
        <vertAlign val="superscript"/>
        <sz val="10"/>
        <color rgb="FF000000"/>
        <rFont val="Arial"/>
      </rPr>
      <t>1,2,3</t>
    </r>
  </si>
  <si>
    <r>
      <rPr>
        <b/>
        <sz val="10"/>
        <color rgb="FF000000"/>
        <rFont val="Arial"/>
      </rPr>
      <t>Mine lease area</t>
    </r>
    <r>
      <rPr>
        <b/>
        <vertAlign val="superscript"/>
        <sz val="10"/>
        <color rgb="FF000000"/>
        <rFont val="Arial"/>
      </rPr>
      <t>1,2</t>
    </r>
  </si>
  <si>
    <t>Cyanide-related incidents: Site level (no. incidents)</t>
  </si>
  <si>
    <r>
      <rPr>
        <b/>
        <sz val="10"/>
        <color rgb="FF000000"/>
        <rFont val="Arial"/>
      </rPr>
      <t>Estimated materials usage: Site level</t>
    </r>
    <r>
      <rPr>
        <b/>
        <vertAlign val="superscript"/>
        <sz val="10"/>
        <color rgb="FF000000"/>
        <rFont val="Arial"/>
      </rPr>
      <t>2</t>
    </r>
  </si>
  <si>
    <r>
      <rPr>
        <vertAlign val="superscript"/>
        <sz val="8"/>
        <color rgb="FF000000"/>
        <rFont val="Arial"/>
      </rPr>
      <t>1</t>
    </r>
    <r>
      <rPr>
        <sz val="8"/>
        <color rgb="FF000000"/>
        <rFont val="Arial"/>
      </rPr>
      <t xml:space="preserve"> Sodium cyanide quantities vary each year due to mineral variations in our ore bodies as well as processing variables.
</t>
    </r>
    <r>
      <rPr>
        <vertAlign val="superscript"/>
        <sz val="8"/>
        <color rgb="FF000000"/>
        <rFont val="Arial"/>
      </rPr>
      <t>2</t>
    </r>
    <r>
      <rPr>
        <sz val="8"/>
        <color rgb="FF000000"/>
        <rFont val="Arial"/>
      </rPr>
      <t xml:space="preserve"> GRI Standards disclosure GRI 301-1: Materials used by weight or volume. Materials consumption data is estimated based on annual procurement data recorded in Newmont's accounting system.</t>
    </r>
  </si>
  <si>
    <r>
      <rPr>
        <b/>
        <sz val="10"/>
        <color rgb="FF000000"/>
        <rFont val="Arial"/>
      </rPr>
      <t>Tailings generated and managed (metric tons)</t>
    </r>
    <r>
      <rPr>
        <b/>
        <vertAlign val="superscript"/>
        <sz val="10"/>
        <color rgb="FF000000"/>
        <rFont val="Arial"/>
      </rPr>
      <t>1</t>
    </r>
  </si>
  <si>
    <r>
      <rPr>
        <vertAlign val="superscript"/>
        <sz val="8"/>
        <color rgb="FF000000"/>
        <rFont val="Arial"/>
      </rPr>
      <t>1</t>
    </r>
    <r>
      <rPr>
        <sz val="8"/>
        <color rgb="FF000000"/>
        <rFont val="Arial"/>
      </rPr>
      <t xml:space="preserve"> 2016-2018 data has not been adjusted or backcast to reflect the current asset portfolio.
</t>
    </r>
    <r>
      <rPr>
        <vertAlign val="superscript"/>
        <sz val="8"/>
        <color rgb="FF000000"/>
        <rFont val="Arial"/>
      </rPr>
      <t>2</t>
    </r>
    <r>
      <rPr>
        <sz val="8"/>
        <color rgb="FF000000"/>
        <rFont val="Arial"/>
      </rPr>
      <t xml:space="preserve"> Water consumption is defined by the GRI as water withdrawn minus water discharged.
</t>
    </r>
    <r>
      <rPr>
        <vertAlign val="superscript"/>
        <sz val="8"/>
        <color rgb="FF000000"/>
        <rFont val="Arial"/>
      </rPr>
      <t>3</t>
    </r>
    <r>
      <rPr>
        <sz val="8"/>
        <color rgb="FF000000"/>
        <rFont val="Arial"/>
      </rPr>
      <t xml:space="preserve"> GRI Standards disclosures GRI 303-3: Water withdrawals; GRI 303-4: Water discharge, and GRI 303-5: Water consumption; SASB Metals &amp; Mining Sustainability Accounting Standard disclosure EM-MM-140a.1: (1) Total fresh water withdrawn, (2) total fresh water consumed. </t>
    </r>
  </si>
  <si>
    <r>
      <rPr>
        <b/>
        <sz val="10"/>
        <color rgb="FF000000"/>
        <rFont val="Arial"/>
      </rPr>
      <t>Total water discharge by destination (thousand kL): Trailing five year data</t>
    </r>
    <r>
      <rPr>
        <b/>
        <vertAlign val="superscript"/>
        <sz val="10"/>
        <color rgb="FF000000"/>
        <rFont val="Arial"/>
      </rPr>
      <t>3</t>
    </r>
  </si>
  <si>
    <r>
      <t>Consumptive water quality (ML)</t>
    </r>
    <r>
      <rPr>
        <b/>
        <vertAlign val="superscript"/>
        <sz val="10"/>
        <color rgb="FF000000"/>
        <rFont val="Arial"/>
      </rPr>
      <t>1,2,3</t>
    </r>
  </si>
  <si>
    <r>
      <rPr>
        <vertAlign val="superscript"/>
        <sz val="8"/>
        <color rgb="FF000000"/>
        <rFont val="Arial"/>
      </rPr>
      <t>1</t>
    </r>
    <r>
      <rPr>
        <sz val="8"/>
        <color rgb="FF000000"/>
        <rFont val="Arial"/>
      </rPr>
      <t xml:space="preserve"> Water sources are defined as groundwater (GW), surface water (SW), and municipal / third-party water (MW).
</t>
    </r>
    <r>
      <rPr>
        <vertAlign val="superscript"/>
        <sz val="8"/>
        <color rgb="FF000000"/>
        <rFont val="Arial"/>
      </rPr>
      <t>2</t>
    </r>
    <r>
      <rPr>
        <sz val="8"/>
        <color rgb="FF000000"/>
        <rFont val="Arial"/>
      </rPr>
      <t xml:space="preserve"> Water stress is considered the baseline water stress as defined by the World Business Council for Sustainable Development (WBCSD) Water tool and/or the World Resources Institute (WRI) Aqueduct tool. The tools do not incorporate factors such as interannual variability in their assessments of water stress. For example, interannual variability for parts of Australia, South America and North America can also increase the risk of water stress; Boddington can have years of baseline water stress or excess water in wet years that may not be reflected in the WBCSD/WRI water stress assessments.
</t>
    </r>
    <r>
      <rPr>
        <vertAlign val="superscript"/>
        <sz val="8"/>
        <color rgb="FF000000"/>
        <rFont val="Arial"/>
      </rPr>
      <t>3</t>
    </r>
    <r>
      <rPr>
        <sz val="8"/>
        <color rgb="FF000000"/>
        <rFont val="Arial"/>
      </rPr>
      <t xml:space="preserve"> A 2018-2019 collaborative initiative between Newmont and WRI evaluated watershed stewardship challenges to identify watersheds where Newmont operates that have minimal or no multi-stakeholder watershed-level collaboration and/or governance in place.
</t>
    </r>
    <r>
      <rPr>
        <vertAlign val="superscript"/>
        <sz val="8"/>
        <color rgb="FF000000"/>
        <rFont val="Arial"/>
      </rPr>
      <t>4</t>
    </r>
    <r>
      <rPr>
        <sz val="8"/>
        <color rgb="FF000000"/>
        <rFont val="Arial"/>
      </rPr>
      <t xml:space="preserve"> Porcupine, as well as other sites in high rainfall areas, may have an excess water risk depending on rainfall that the site receives in an annual period. 
</t>
    </r>
    <r>
      <rPr>
        <vertAlign val="superscript"/>
        <sz val="8"/>
        <color rgb="FF000000"/>
        <rFont val="Arial"/>
      </rPr>
      <t>5</t>
    </r>
    <r>
      <rPr>
        <sz val="8"/>
        <color rgb="FF000000"/>
        <rFont val="Arial"/>
      </rPr>
      <t xml:space="preserve"> There are challenges in regulations and management of water at the watershed level for Yanacocha, but this is not designated as a Watershed Challenge because the site follows a fairly robust regulatory framework that identifies the water users and water usage (by beneficial use) for each of the watersheds in which we operate. We continue to manage our water quality and quantity and work closely with stakeholders to manage expectations. </t>
    </r>
  </si>
  <si>
    <r>
      <rPr>
        <vertAlign val="superscript"/>
        <sz val="8"/>
        <color rgb="FF000000"/>
        <rFont val="Arial"/>
      </rPr>
      <t>1</t>
    </r>
    <r>
      <rPr>
        <sz val="8"/>
        <color rgb="FF000000"/>
        <rFont val="Arial"/>
      </rPr>
      <t xml:space="preserve"> Category high includes WAF Category 1 and 2.
</t>
    </r>
    <r>
      <rPr>
        <vertAlign val="superscript"/>
        <sz val="8"/>
        <color rgb="FF000000"/>
        <rFont val="Arial"/>
      </rPr>
      <t>2</t>
    </r>
    <r>
      <rPr>
        <sz val="8"/>
        <color rgb="FF000000"/>
        <rFont val="Arial"/>
      </rPr>
      <t xml:space="preserve"> Category low includes WAF Category 3.</t>
    </r>
  </si>
  <si>
    <t>Water stressed sites, water summary (thousand kL)</t>
  </si>
  <si>
    <t>Water intensity - tonnes ore processed</t>
  </si>
  <si>
    <t>Water intensity - GEO</t>
  </si>
  <si>
    <r>
      <rPr>
        <b/>
        <sz val="10"/>
        <color rgb="FF000000"/>
        <rFont val="Arial"/>
      </rPr>
      <t>Estimated site-level waste rock generated by type (metric tons)</t>
    </r>
    <r>
      <rPr>
        <b/>
        <vertAlign val="superscript"/>
        <sz val="10"/>
        <color rgb="FF000000"/>
        <rFont val="Arial"/>
      </rPr>
      <t>1</t>
    </r>
  </si>
  <si>
    <t>Estimated site-level other waste (metric tons)</t>
  </si>
  <si>
    <r>
      <rPr>
        <b/>
        <sz val="10"/>
        <color rgb="FF000000"/>
        <rFont val="Arial"/>
      </rPr>
      <t>Estimated site-level mercury waste by site and type (metric tons)</t>
    </r>
    <r>
      <rPr>
        <b/>
        <vertAlign val="superscript"/>
        <sz val="10"/>
        <color rgb="FF000000"/>
        <rFont val="Arial"/>
      </rPr>
      <t>1,2</t>
    </r>
  </si>
  <si>
    <r>
      <rPr>
        <b/>
        <sz val="10"/>
        <color rgb="FF000000"/>
        <rFont val="Arial"/>
      </rPr>
      <t>Estimated site-level hazardous waste diverted from disposal (metric tons)</t>
    </r>
    <r>
      <rPr>
        <b/>
        <vertAlign val="superscript"/>
        <sz val="10"/>
        <color rgb="FF000000"/>
        <rFont val="Arial"/>
      </rPr>
      <t>1</t>
    </r>
  </si>
  <si>
    <r>
      <rPr>
        <vertAlign val="superscript"/>
        <sz val="8"/>
        <color rgb="FF000000"/>
        <rFont val="Arial"/>
        <family val="2"/>
      </rPr>
      <t xml:space="preserve">1 </t>
    </r>
    <r>
      <rPr>
        <sz val="8"/>
        <color rgb="FF000000"/>
        <rFont val="Arial"/>
        <family val="2"/>
      </rPr>
      <t>GRI Standards disclosure GRI 306-4: Waste diverted from disposal</t>
    </r>
  </si>
  <si>
    <r>
      <rPr>
        <b/>
        <sz val="10"/>
        <color rgb="FF000000"/>
        <rFont val="Arial"/>
      </rPr>
      <t>Estimated site-level non-hazardous waste diverted from disposal (metric tons)</t>
    </r>
    <r>
      <rPr>
        <b/>
        <vertAlign val="superscript"/>
        <sz val="10"/>
        <color rgb="FF000000"/>
        <rFont val="Arial"/>
      </rPr>
      <t>1</t>
    </r>
  </si>
  <si>
    <r>
      <rPr>
        <b/>
        <sz val="10"/>
        <color rgb="FF000000"/>
        <rFont val="Arial"/>
      </rPr>
      <t>Estimated site-level hazardous waste disposed (metric tons)</t>
    </r>
    <r>
      <rPr>
        <b/>
        <vertAlign val="superscript"/>
        <sz val="10"/>
        <color rgb="FF000000"/>
        <rFont val="Arial"/>
      </rPr>
      <t>1</t>
    </r>
  </si>
  <si>
    <r>
      <rPr>
        <vertAlign val="superscript"/>
        <sz val="8"/>
        <color rgb="FF000000"/>
        <rFont val="Arial"/>
        <family val="2"/>
      </rPr>
      <t xml:space="preserve">1 </t>
    </r>
    <r>
      <rPr>
        <sz val="8"/>
        <color rgb="FF000000"/>
        <rFont val="Arial"/>
        <family val="2"/>
      </rPr>
      <t>GRI Standards Disclosure 306-5: Waste directed to disposal</t>
    </r>
  </si>
  <si>
    <r>
      <rPr>
        <b/>
        <sz val="10"/>
        <color rgb="FF000000"/>
        <rFont val="Arial"/>
      </rPr>
      <t>Estimated site-level non-hazardous waste disposed (metric tons)</t>
    </r>
    <r>
      <rPr>
        <b/>
        <vertAlign val="superscript"/>
        <sz val="10"/>
        <color rgb="FF000000"/>
        <rFont val="Arial"/>
      </rPr>
      <t>1</t>
    </r>
  </si>
  <si>
    <r>
      <rPr>
        <vertAlign val="superscript"/>
        <sz val="8"/>
        <color rgb="FF000000"/>
        <rFont val="Arial"/>
        <family val="2"/>
      </rPr>
      <t>1</t>
    </r>
    <r>
      <rPr>
        <sz val="8"/>
        <color rgb="FF000000"/>
        <rFont val="Arial"/>
        <family val="2"/>
      </rPr>
      <t xml:space="preserve"> For a 2020 site-level breakout of tailings, reference the 2020 Site-level tailings by type data table in the Tailings Management section of the Performance Data tables.
</t>
    </r>
    <r>
      <rPr>
        <vertAlign val="superscript"/>
        <sz val="8"/>
        <color rgb="FF000000"/>
        <rFont val="Arial"/>
        <family val="2"/>
      </rPr>
      <t>2</t>
    </r>
    <r>
      <rPr>
        <sz val="8"/>
        <color rgb="FF000000"/>
        <rFont val="Arial"/>
        <family val="2"/>
      </rPr>
      <t xml:space="preserve"> GRI Standards disclosure GRI 306-3: Waste generated; GRI Metals &amp; Mining sector supplement disclosure MM3: Total amounts of overburden, rock, tailings, and sludges and their associated risks; SASB Metals &amp; Mining Sustainability Accounting Standard disclosure EM-MM-150a.1: Total weight of tailings waste, and EM-MM-150a.2: Total weight of mineral processing waste. </t>
    </r>
  </si>
  <si>
    <r>
      <t>Rapid Response performance data: Country level</t>
    </r>
    <r>
      <rPr>
        <b/>
        <vertAlign val="superscript"/>
        <sz val="10"/>
        <color rgb="FF000000"/>
        <rFont val="Arial"/>
      </rPr>
      <t>1</t>
    </r>
  </si>
  <si>
    <r>
      <t>Employee-only safety data: Site level</t>
    </r>
    <r>
      <rPr>
        <b/>
        <vertAlign val="superscript"/>
        <sz val="10"/>
        <color rgb="FF000000"/>
        <rFont val="Arial"/>
      </rPr>
      <t>1, 2</t>
    </r>
  </si>
  <si>
    <r>
      <t>Contractor-only safety data: Site level</t>
    </r>
    <r>
      <rPr>
        <b/>
        <vertAlign val="superscript"/>
        <sz val="10"/>
        <color rgb="FF000000"/>
        <rFont val="Arial"/>
      </rPr>
      <t>1, 2</t>
    </r>
  </si>
  <si>
    <r>
      <rPr>
        <b/>
        <sz val="10"/>
        <color rgb="FF000000"/>
        <rFont val="Arial"/>
      </rPr>
      <t>Workforce injury frequency rate (per 200,000 hours worked): Trailing five year data</t>
    </r>
    <r>
      <rPr>
        <b/>
        <vertAlign val="superscript"/>
        <sz val="10"/>
        <color rgb="FF000000"/>
        <rFont val="Arial"/>
      </rPr>
      <t>1, 2, 4</t>
    </r>
  </si>
  <si>
    <r>
      <t>Combined safety rates: Site level</t>
    </r>
    <r>
      <rPr>
        <b/>
        <vertAlign val="superscript"/>
        <sz val="10"/>
        <color rgb="FF000000"/>
        <rFont val="Arial"/>
      </rPr>
      <t>1, 2</t>
    </r>
  </si>
  <si>
    <r>
      <t>Safety trainings: Site level</t>
    </r>
    <r>
      <rPr>
        <b/>
        <vertAlign val="superscript"/>
        <sz val="10"/>
        <color rgb="FF000000"/>
        <rFont val="Arial"/>
      </rPr>
      <t>1, 3</t>
    </r>
    <r>
      <rPr>
        <b/>
        <sz val="10"/>
        <color rgb="FF000000"/>
        <rFont val="Arial"/>
      </rPr>
      <t xml:space="preserve"> </t>
    </r>
  </si>
  <si>
    <r>
      <t>Artisanal and small-scale mining (ASM) activity: Site level activities</t>
    </r>
    <r>
      <rPr>
        <b/>
        <vertAlign val="superscript"/>
        <sz val="10"/>
        <color rgb="FF000000"/>
        <rFont val="Arial"/>
      </rPr>
      <t>1</t>
    </r>
  </si>
  <si>
    <r>
      <t>Sites where ASM activity occurred</t>
    </r>
    <r>
      <rPr>
        <b/>
        <vertAlign val="superscript"/>
        <sz val="10"/>
        <color rgb="FF000000"/>
        <rFont val="Arial"/>
      </rPr>
      <t>2</t>
    </r>
  </si>
  <si>
    <r>
      <t>Community development leading practices: Site level</t>
    </r>
    <r>
      <rPr>
        <b/>
        <vertAlign val="superscript"/>
        <sz val="10"/>
        <color rgb="FF000000"/>
        <rFont val="Arial"/>
      </rPr>
      <t>3</t>
    </r>
  </si>
  <si>
    <t>Engaged the Traditional Authority on the potential impact
Provided compensation for and participated in pacification rituals performed by the Traditional Authority
Re-established sit in a suitable location and ensured the community has safe access to perform rituals
Engaged with Traditional Authorities to undertake a region-wide review to properly and accurately record cultural site information</t>
  </si>
  <si>
    <t xml:space="preserve">	•Revised Indigenous recruitment and training procedures
	•Included a discrete Indigenous people engagement domain in a revised and extended stakeholder engagement management plan (SEMP)
	•Developed an Indigenous Employment Pathways (IEP) steering Committee and annual action plan</t>
  </si>
  <si>
    <t xml:space="preserve">Indigenous participation specific to employment and procurement </t>
  </si>
  <si>
    <t>Delay in extension, renewal and recommencement of Yapa Crew (primary employment pathway/program for Priority Warlpiri and AOI communities)</t>
  </si>
  <si>
    <t xml:space="preserve">	•Recruited internal central Australian language group (CALG) Yapa Crew supervisor
	•Completed program delivery model options analysis</t>
  </si>
  <si>
    <t>Lack of coordinated and collaborative engagement with Indigenous rangers on land management programs</t>
  </si>
  <si>
    <r>
      <t>Complaints and Grievances: Site level</t>
    </r>
    <r>
      <rPr>
        <b/>
        <vertAlign val="superscript"/>
        <sz val="10"/>
        <color rgb="FF000000"/>
        <rFont val="Arial"/>
      </rPr>
      <t>1, 2</t>
    </r>
  </si>
  <si>
    <r>
      <t>Complaints and grievances by category: Site level</t>
    </r>
    <r>
      <rPr>
        <b/>
        <vertAlign val="superscript"/>
        <sz val="10"/>
        <color rgb="FF000000"/>
        <rFont val="Arial"/>
      </rPr>
      <t>1, 3</t>
    </r>
  </si>
  <si>
    <r>
      <t>Human rights assessments or reviews conducted 2017-2020: Site-level</t>
    </r>
    <r>
      <rPr>
        <b/>
        <vertAlign val="superscript"/>
        <sz val="10"/>
        <color rgb="FF000000"/>
        <rFont val="Arial"/>
      </rPr>
      <t>1, 2</t>
    </r>
  </si>
  <si>
    <r>
      <t>Human rights new supplier screening: Country level</t>
    </r>
    <r>
      <rPr>
        <b/>
        <vertAlign val="superscript"/>
        <sz val="10"/>
        <color rgb="FF000000"/>
        <rFont val="Arial"/>
      </rPr>
      <t>1, 3</t>
    </r>
  </si>
  <si>
    <r>
      <t>Security personnel trained in human rights policies or procedures: Site level</t>
    </r>
    <r>
      <rPr>
        <b/>
        <vertAlign val="superscript"/>
        <sz val="10"/>
        <color rgb="FF000000"/>
        <rFont val="Arial"/>
      </rPr>
      <t xml:space="preserve">1,4 </t>
    </r>
  </si>
  <si>
    <r>
      <t>Human rights workforce trainings conducted: Site level</t>
    </r>
    <r>
      <rPr>
        <b/>
        <vertAlign val="superscript"/>
        <sz val="10"/>
        <color rgb="FF000000"/>
        <rFont val="Arial"/>
      </rPr>
      <t>3</t>
    </r>
  </si>
  <si>
    <r>
      <rPr>
        <vertAlign val="superscript"/>
        <sz val="8"/>
        <color rgb="FF000000"/>
        <rFont val="Arial"/>
      </rPr>
      <t xml:space="preserve">1 </t>
    </r>
    <r>
      <rPr>
        <sz val="8"/>
        <color rgb="FF000000"/>
        <rFont val="Arial"/>
      </rPr>
      <t xml:space="preserve">This does not include the online employee training figures which are reported in the main body of the report. 
</t>
    </r>
    <r>
      <rPr>
        <vertAlign val="superscript"/>
        <sz val="8"/>
        <color rgb="FF000000"/>
        <rFont val="Arial"/>
      </rPr>
      <t xml:space="preserve">2 </t>
    </r>
    <r>
      <rPr>
        <sz val="8"/>
        <color rgb="FF000000"/>
        <rFont val="Arial"/>
      </rPr>
      <t xml:space="preserve">Includes in person and online supplier trainings. 331 suppliers were trained in Ghana through a virtual suppliers summit. The sessions included suppliers from both sites. 
</t>
    </r>
    <r>
      <rPr>
        <vertAlign val="superscript"/>
        <sz val="8"/>
        <color rgb="FF000000"/>
        <rFont val="Arial"/>
      </rPr>
      <t xml:space="preserve">3 </t>
    </r>
    <r>
      <rPr>
        <sz val="8"/>
        <color rgb="FF000000"/>
        <rFont val="Arial"/>
      </rPr>
      <t xml:space="preserve">GRI Standards disclosure 412-2: Employee training on human rights policies or procedures. </t>
    </r>
  </si>
  <si>
    <t>Indigenous Community</t>
  </si>
  <si>
    <r>
      <rPr>
        <vertAlign val="superscript"/>
        <sz val="8"/>
        <color rgb="FF000000"/>
        <rFont val="Arial"/>
      </rPr>
      <t xml:space="preserve">1  </t>
    </r>
    <r>
      <rPr>
        <sz val="8"/>
        <color rgb="FF000000"/>
        <rFont val="Arial"/>
      </rPr>
      <t xml:space="preserve">Canada has adopted the U.N. Declaration of the Rights of Indigenous Peoples legislation. 
</t>
    </r>
    <r>
      <rPr>
        <vertAlign val="superscript"/>
        <sz val="8"/>
        <color rgb="FF000000"/>
        <rFont val="Arial"/>
      </rPr>
      <t>2</t>
    </r>
    <r>
      <rPr>
        <sz val="8"/>
        <color rgb="FF000000"/>
        <rFont val="Arial"/>
      </rPr>
      <t xml:space="preserve"> The reporting boundary for this disclosure covers all indigenous/aboriginal/First Nations groups near our operations (active, exploration) and sites in 2020 (beyond land agreements and events), reference the narrative of our 2020 annual sustainability report for a detailed discussion of stakeholder engagement with all groups, including those with which Newmont has formal agreements in place (meeting the aspects of GRI MM5 that are not shown in the table above to ensure full coverage of this disclosure item). Of the 12 active operating sites within this reporting boundary (Ahafo, Akyem, CC&amp;V, Eleonore, Musselwhite, Porcupine,  Penasquito, Cerro Negro, Merian, Yanacocha, Boddington, and Tanami), seven actively operating sites (50%) are located in or adjacent to indigenous peoples' territories. An additional five non-operating sites and/or projects (Coffee, Galore Creek, North Abierto project, and Sabajo project) operate in or adjacent to indigenous peoples territories.
</t>
    </r>
    <r>
      <rPr>
        <vertAlign val="superscript"/>
        <sz val="8"/>
        <color rgb="FF000000"/>
        <rFont val="Arial"/>
        <family val="2"/>
      </rPr>
      <t>3</t>
    </r>
    <r>
      <rPr>
        <sz val="8"/>
        <color rgb="FF000000"/>
        <rFont val="Arial"/>
      </rPr>
      <t xml:space="preserve"> GRI Standards disclosure Mining and Metals sector supplement MM5;Total number of operations taking place in or adjacent to indigenous peoples' territories, and number and percentage of operations with sites where there are formal agreements with indigenous peoples' communities, and GRI 411-1 Rights of indigenous peoples. SASB Metals and Mining sector supplement EM-MM-210a.3 Security, Human Rights, &amp; Rights of Indigenous Peoples.</t>
    </r>
    <r>
      <rPr>
        <vertAlign val="superscript"/>
        <sz val="8"/>
        <color rgb="FF000000"/>
        <rFont val="Arial"/>
      </rPr>
      <t xml:space="preserve"> 
</t>
    </r>
  </si>
  <si>
    <r>
      <t>Lands, agreements, significant events: Site level</t>
    </r>
    <r>
      <rPr>
        <b/>
        <vertAlign val="superscript"/>
        <sz val="10"/>
        <color rgb="FF000000"/>
        <rFont val="Arial"/>
      </rPr>
      <t>1,2,3</t>
    </r>
  </si>
  <si>
    <r>
      <t>Significant disputes related to land or resource use: Site level</t>
    </r>
    <r>
      <rPr>
        <b/>
        <vertAlign val="superscript"/>
        <sz val="10"/>
        <color rgb="FF000000"/>
        <rFont val="Arial"/>
      </rPr>
      <t>1, 2</t>
    </r>
  </si>
  <si>
    <r>
      <t>Resettlement and/or relocation activity: Site level</t>
    </r>
    <r>
      <rPr>
        <b/>
        <vertAlign val="superscript"/>
        <sz val="10"/>
        <color rgb="FF000000"/>
        <rFont val="Arial"/>
      </rPr>
      <t>1, 2</t>
    </r>
  </si>
  <si>
    <r>
      <t>Social impact assessment and engagement practices: Site level</t>
    </r>
    <r>
      <rPr>
        <b/>
        <vertAlign val="superscript"/>
        <sz val="10"/>
        <color rgb="FF000000"/>
        <rFont val="Arial"/>
      </rPr>
      <t>1,2</t>
    </r>
  </si>
  <si>
    <r>
      <rPr>
        <b/>
        <sz val="10"/>
        <color rgb="FF000000"/>
        <rFont val="Arial"/>
      </rPr>
      <t>COVID-19 Global Fund: Site level (thousands US$)</t>
    </r>
    <r>
      <rPr>
        <b/>
        <vertAlign val="superscript"/>
        <sz val="10"/>
        <color rgb="FF000000"/>
        <rFont val="Arial"/>
      </rPr>
      <t>4</t>
    </r>
  </si>
  <si>
    <r>
      <t>Country/site</t>
    </r>
    <r>
      <rPr>
        <b/>
        <vertAlign val="superscript"/>
        <sz val="10"/>
        <color rgb="FF000000"/>
        <rFont val="Arial"/>
        <family val="2"/>
      </rPr>
      <t>2</t>
    </r>
  </si>
  <si>
    <r>
      <t>Community investments: Site level (millions US$)</t>
    </r>
    <r>
      <rPr>
        <b/>
        <vertAlign val="superscript"/>
        <sz val="10"/>
        <color rgb="FF000000"/>
        <rFont val="Arial"/>
        <family val="2"/>
      </rPr>
      <t>1,5</t>
    </r>
  </si>
  <si>
    <r>
      <rPr>
        <vertAlign val="superscript"/>
        <sz val="8"/>
        <color rgb="FF000000"/>
        <rFont val="Arial"/>
      </rPr>
      <t xml:space="preserve">1 </t>
    </r>
    <r>
      <rPr>
        <sz val="8"/>
        <color rgb="FF000000"/>
        <rFont val="Arial"/>
      </rPr>
      <t xml:space="preserve">Community investments data excludes the COVID-19 Global Community Support Fund contributions.
</t>
    </r>
    <r>
      <rPr>
        <vertAlign val="superscript"/>
        <sz val="8"/>
        <color rgb="FF000000"/>
        <rFont val="Arial"/>
      </rPr>
      <t xml:space="preserve">2 </t>
    </r>
    <r>
      <rPr>
        <sz val="8"/>
        <color rgb="FF000000"/>
        <rFont val="Arial"/>
        <family val="2"/>
      </rPr>
      <t>Australia includes Perth regional office; Canada includes Vancouver regional office; U.S. excludes Nevada and Denver corporate headquarters.</t>
    </r>
    <r>
      <rPr>
        <sz val="8"/>
        <color rgb="FF000000"/>
        <rFont val="Arial"/>
      </rPr>
      <t xml:space="preserve">
</t>
    </r>
    <r>
      <rPr>
        <vertAlign val="superscript"/>
        <sz val="8"/>
        <color rgb="FF000000"/>
        <rFont val="Arial"/>
      </rPr>
      <t>3</t>
    </r>
    <r>
      <rPr>
        <sz val="8"/>
        <color rgb="FF000000"/>
        <rFont val="Arial"/>
      </rPr>
      <t xml:space="preserve"> Community development expenditures reported by sites reflect direct expenditures on programs and partnerships that support local community development programs and partnerships. Expenditures omit outside grant funding received from partner agencies; overhead expenses such as community relations year-end reporting costs, salaries and administrative costs; monetary value of in-kind donations and volunteerism; and expenditures related to mitigation including exploration and land use payments.
</t>
    </r>
    <r>
      <rPr>
        <vertAlign val="superscript"/>
        <sz val="8"/>
        <color rgb="FF000000"/>
        <rFont val="Arial"/>
        <family val="2"/>
      </rPr>
      <t>4</t>
    </r>
    <r>
      <rPr>
        <sz val="8"/>
        <color rgb="FF000000"/>
        <rFont val="Arial"/>
      </rPr>
      <t xml:space="preserve"> Donations data reflects direct monetary investments and the book value of in-kind donations. 
</t>
    </r>
    <r>
      <rPr>
        <vertAlign val="superscript"/>
        <sz val="8"/>
        <color rgb="FF000000"/>
        <rFont val="Arial"/>
        <family val="2"/>
      </rPr>
      <t>5</t>
    </r>
    <r>
      <rPr>
        <sz val="8"/>
        <color rgb="FF000000"/>
        <rFont val="Arial"/>
      </rPr>
      <t xml:space="preserve"> GRI Standards disclosure GRI 201-1: Direct Economic Value Generated and Distributed (this table shows GRI 201-1-iii only);  full disclosures are detailed in the Economic Value Generated and Economic Value Distributed tables. Amounts may not recalculate due to rounding. Differences in community investments totals are shown in this table and totals shown in the Economic Value Distributed data are due to decimal place rounding. 
</t>
    </r>
  </si>
  <si>
    <r>
      <t>Community development expenditures</t>
    </r>
    <r>
      <rPr>
        <b/>
        <vertAlign val="superscript"/>
        <sz val="10"/>
        <color rgb="FF000000"/>
        <rFont val="Arial"/>
        <family val="2"/>
      </rPr>
      <t>3</t>
    </r>
  </si>
  <si>
    <r>
      <t>Donations</t>
    </r>
    <r>
      <rPr>
        <b/>
        <vertAlign val="superscript"/>
        <sz val="10"/>
        <color rgb="FF000000"/>
        <rFont val="Arial"/>
        <family val="2"/>
      </rPr>
      <t>4</t>
    </r>
  </si>
  <si>
    <r>
      <t>Economic value distributed: Country level (millions)</t>
    </r>
    <r>
      <rPr>
        <b/>
        <vertAlign val="superscript"/>
        <sz val="10"/>
        <color rgb="FF000000"/>
        <rFont val="Arial"/>
      </rPr>
      <t>1,7</t>
    </r>
  </si>
  <si>
    <r>
      <t>Economic value generated: Country level</t>
    </r>
    <r>
      <rPr>
        <b/>
        <vertAlign val="superscript"/>
        <sz val="10"/>
        <color rgb="FF000000"/>
        <rFont val="Arial"/>
      </rPr>
      <t>1, 2</t>
    </r>
    <r>
      <rPr>
        <b/>
        <sz val="10"/>
        <color rgb="FF000000"/>
        <rFont val="Arial"/>
      </rPr>
      <t xml:space="preserve"> (millions)</t>
    </r>
  </si>
  <si>
    <r>
      <t>Number of suppliers</t>
    </r>
    <r>
      <rPr>
        <b/>
        <vertAlign val="superscript"/>
        <sz val="10"/>
        <color rgb="FF000000"/>
        <rFont val="Arial"/>
      </rPr>
      <t>1</t>
    </r>
  </si>
  <si>
    <t xml:space="preserve">Number of Suppliers 		</t>
  </si>
  <si>
    <r>
      <t>Spending on local suppliers: Region level (millions)</t>
    </r>
    <r>
      <rPr>
        <b/>
        <vertAlign val="superscript"/>
        <sz val="10"/>
        <color rgb="FF000000"/>
        <rFont val="Arial"/>
        <family val="2"/>
      </rPr>
      <t>5</t>
    </r>
  </si>
  <si>
    <r>
      <t>Payments to governments: Country level (millions)</t>
    </r>
    <r>
      <rPr>
        <b/>
        <vertAlign val="superscript"/>
        <sz val="10"/>
        <color rgb="FF000000"/>
        <rFont val="Arial"/>
      </rPr>
      <t>1, 2, 5</t>
    </r>
    <r>
      <rPr>
        <b/>
        <sz val="10"/>
        <color rgb="FF000000"/>
        <rFont val="Arial"/>
      </rPr>
      <t xml:space="preserve"> </t>
    </r>
  </si>
  <si>
    <r>
      <t>Effective tax rates: Country level</t>
    </r>
    <r>
      <rPr>
        <b/>
        <vertAlign val="superscript"/>
        <sz val="10"/>
        <color rgb="FF000000"/>
        <rFont val="Arial"/>
      </rPr>
      <t>1,3</t>
    </r>
  </si>
  <si>
    <r>
      <t>Ratio of average female salary to average male salary: Employee category</t>
    </r>
    <r>
      <rPr>
        <b/>
        <vertAlign val="superscript"/>
        <sz val="10"/>
        <color rgb="FF000000"/>
        <rFont val="Arial"/>
      </rPr>
      <t>1</t>
    </r>
  </si>
  <si>
    <r>
      <rPr>
        <b/>
        <sz val="10"/>
        <color rgb="FF000000"/>
        <rFont val="Arial"/>
      </rPr>
      <t>Ratio of average female salary to average male salary: Country level</t>
    </r>
    <r>
      <rPr>
        <b/>
        <vertAlign val="superscript"/>
        <sz val="10"/>
        <color rgb="FF000000"/>
        <rFont val="Arial"/>
      </rPr>
      <t>1, 2, 3</t>
    </r>
  </si>
  <si>
    <r>
      <t>Employee Gender Breakout: Country level</t>
    </r>
    <r>
      <rPr>
        <b/>
        <vertAlign val="superscript"/>
        <sz val="10"/>
        <color rgb="FF000000"/>
        <rFont val="Arial"/>
      </rPr>
      <t>1, 2, 3</t>
    </r>
  </si>
  <si>
    <r>
      <t>Employee gender breakout: Number by employee category</t>
    </r>
    <r>
      <rPr>
        <b/>
        <vertAlign val="superscript"/>
        <sz val="10"/>
        <color rgb="FF000000"/>
        <rFont val="Arial"/>
      </rPr>
      <t>1,2</t>
    </r>
  </si>
  <si>
    <r>
      <t>Female representation - Percentage by employee category: Trailing five year data</t>
    </r>
    <r>
      <rPr>
        <b/>
        <vertAlign val="superscript"/>
        <sz val="10"/>
        <color rgb="FF000000"/>
        <rFont val="Arial"/>
      </rPr>
      <t>1, 3</t>
    </r>
  </si>
  <si>
    <r>
      <rPr>
        <b/>
        <sz val="10"/>
        <color rgb="FF000000"/>
        <rFont val="Arial"/>
      </rPr>
      <t>Employee age distribution: Number and percentage by age range and category</t>
    </r>
    <r>
      <rPr>
        <b/>
        <vertAlign val="superscript"/>
        <sz val="10"/>
        <color rgb="FF000000"/>
        <rFont val="Arial"/>
      </rPr>
      <t>2</t>
    </r>
  </si>
  <si>
    <r>
      <t>Minimum notice periods regarding operational changes: By country</t>
    </r>
    <r>
      <rPr>
        <b/>
        <vertAlign val="superscript"/>
        <sz val="10"/>
        <color rgb="FF000000"/>
        <rFont val="Arial"/>
      </rPr>
      <t>1, 2</t>
    </r>
  </si>
  <si>
    <r>
      <t>Strikes and lockouts exceeding one week's duration: Site level</t>
    </r>
    <r>
      <rPr>
        <b/>
        <vertAlign val="superscript"/>
        <sz val="10"/>
        <color rgb="FF000000"/>
        <rFont val="Arial"/>
      </rPr>
      <t>1,2</t>
    </r>
  </si>
  <si>
    <r>
      <t>Number and duration of non-technical delays: Site level</t>
    </r>
    <r>
      <rPr>
        <b/>
        <vertAlign val="superscript"/>
        <sz val="10"/>
        <color rgb="FF000000"/>
        <rFont val="Arial"/>
      </rPr>
      <t>1,2</t>
    </r>
  </si>
  <si>
    <r>
      <t>Employee turnover: By region</t>
    </r>
    <r>
      <rPr>
        <b/>
        <vertAlign val="superscript"/>
        <sz val="10"/>
        <rFont val="Arial"/>
        <family val="2"/>
      </rPr>
      <t>3</t>
    </r>
  </si>
  <si>
    <r>
      <t>Employee turnover: By age group</t>
    </r>
    <r>
      <rPr>
        <b/>
        <vertAlign val="superscript"/>
        <sz val="10"/>
        <rFont val="Arial"/>
        <family val="2"/>
      </rPr>
      <t>1</t>
    </r>
  </si>
  <si>
    <r>
      <rPr>
        <b/>
        <sz val="10"/>
        <color rgb="FF000000"/>
        <rFont val="Arial"/>
      </rPr>
      <t>New hires: By country, gender and age group</t>
    </r>
    <r>
      <rPr>
        <b/>
        <vertAlign val="superscript"/>
        <sz val="10"/>
        <color rgb="FF000000"/>
        <rFont val="Arial"/>
      </rPr>
      <t>4</t>
    </r>
  </si>
  <si>
    <r>
      <t>Percentage of employees who have received performance reviews: By gender, employee category</t>
    </r>
    <r>
      <rPr>
        <b/>
        <vertAlign val="superscript"/>
        <sz val="10"/>
        <color rgb="FF000000"/>
        <rFont val="Arial"/>
      </rPr>
      <t>1,2</t>
    </r>
  </si>
  <si>
    <r>
      <rPr>
        <b/>
        <sz val="10"/>
        <color rgb="FF000000"/>
        <rFont val="Arial"/>
      </rPr>
      <t>Average hours of training per employee: By employee category and gender</t>
    </r>
    <r>
      <rPr>
        <b/>
        <vertAlign val="superscript"/>
        <sz val="10"/>
        <color rgb="FF000000"/>
        <rFont val="Arial"/>
      </rPr>
      <t>1</t>
    </r>
  </si>
  <si>
    <t>2020 NORMALIZING DENOMINATORS</t>
  </si>
  <si>
    <r>
      <rPr>
        <b/>
        <sz val="10"/>
        <color rgb="FF000000"/>
        <rFont val="Arial"/>
      </rPr>
      <t>Estimated GEOs: Site leve</t>
    </r>
    <r>
      <rPr>
        <b/>
        <sz val="10"/>
        <color rgb="FF000000"/>
        <rFont val="Arial"/>
        <family val="2"/>
      </rPr>
      <t>l</t>
    </r>
    <r>
      <rPr>
        <b/>
        <vertAlign val="superscript"/>
        <sz val="10"/>
        <color rgb="FF000000"/>
        <rFont val="Arial"/>
      </rPr>
      <t>1</t>
    </r>
  </si>
  <si>
    <r>
      <rPr>
        <vertAlign val="superscript"/>
        <sz val="8"/>
        <rFont val="Arial"/>
        <family val="2"/>
      </rPr>
      <t xml:space="preserve">1 </t>
    </r>
    <r>
      <rPr>
        <sz val="8"/>
        <rFont val="Arial"/>
        <family val="2"/>
      </rPr>
      <t>Source: Page 45 of Newmont's 2020 10-K</t>
    </r>
  </si>
  <si>
    <r>
      <rPr>
        <vertAlign val="superscript"/>
        <sz val="8"/>
        <color rgb="FF000000"/>
        <rFont val="Arial"/>
      </rPr>
      <t xml:space="preserve">1 </t>
    </r>
    <r>
      <rPr>
        <sz val="8"/>
        <color rgb="FF000000"/>
        <rFont val="Arial"/>
      </rPr>
      <t>Air emissions of the following pollutants: (1) CO, (2) NO</t>
    </r>
    <r>
      <rPr>
        <vertAlign val="subscript"/>
        <sz val="8"/>
        <color rgb="FF000000"/>
        <rFont val="Arial"/>
      </rPr>
      <t>x</t>
    </r>
    <r>
      <rPr>
        <sz val="8"/>
        <color rgb="FF000000"/>
        <rFont val="Arial"/>
      </rPr>
      <t xml:space="preserve"> (excluding N</t>
    </r>
    <r>
      <rPr>
        <vertAlign val="subscript"/>
        <sz val="8"/>
        <color rgb="FF000000"/>
        <rFont val="Arial"/>
      </rPr>
      <t>2</t>
    </r>
    <r>
      <rPr>
        <sz val="8"/>
        <color rgb="FF000000"/>
        <rFont val="Arial"/>
      </rPr>
      <t>O), (3) SO</t>
    </r>
    <r>
      <rPr>
        <vertAlign val="subscript"/>
        <sz val="8"/>
        <color rgb="FF000000"/>
        <rFont val="Arial"/>
      </rPr>
      <t>x</t>
    </r>
    <r>
      <rPr>
        <sz val="8"/>
        <color rgb="FF000000"/>
        <rFont val="Arial"/>
      </rPr>
      <t xml:space="preserve">, (4) particulate matter (PM10), (5) mercury (Hg), (6) lead (Pb), and (7) volatile organic compounds (VOCs); TR refers to trace amounts, defined as &lt;0.0001.
</t>
    </r>
    <r>
      <rPr>
        <vertAlign val="superscript"/>
        <sz val="8"/>
        <color rgb="FF000000"/>
        <rFont val="Arial"/>
      </rPr>
      <t xml:space="preserve">2 </t>
    </r>
    <r>
      <rPr>
        <sz val="8"/>
        <color rgb="FF000000"/>
        <rFont val="Arial"/>
      </rPr>
      <t>GRI Standards disclosures GRI 305-6: Emissions of ozone-depleting substances and GRI: 305-7: NO</t>
    </r>
    <r>
      <rPr>
        <vertAlign val="subscript"/>
        <sz val="8"/>
        <color rgb="FF000000"/>
        <rFont val="Arial"/>
      </rPr>
      <t>x</t>
    </r>
    <r>
      <rPr>
        <sz val="8"/>
        <color rgb="FF000000"/>
        <rFont val="Arial"/>
      </rPr>
      <t>, SO</t>
    </r>
    <r>
      <rPr>
        <vertAlign val="subscript"/>
        <sz val="8"/>
        <color rgb="FF000000"/>
        <rFont val="Arial"/>
      </rPr>
      <t>x</t>
    </r>
    <r>
      <rPr>
        <sz val="8"/>
        <color rgb="FF000000"/>
        <rFont val="Arial"/>
      </rPr>
      <t xml:space="preserve"> and other significant air emissions; and SASB Metals &amp; Mining Sustainability Accounting Standard EM-MM-120a.1: Air emissions of the following pollutants: (1) CO, (2) NO</t>
    </r>
    <r>
      <rPr>
        <vertAlign val="subscript"/>
        <sz val="8"/>
        <color rgb="FF000000"/>
        <rFont val="Arial"/>
      </rPr>
      <t>x</t>
    </r>
    <r>
      <rPr>
        <sz val="8"/>
        <color rgb="FF000000"/>
        <rFont val="Arial"/>
      </rPr>
      <t xml:space="preserve"> (excluding N</t>
    </r>
    <r>
      <rPr>
        <vertAlign val="subscript"/>
        <sz val="8"/>
        <color rgb="FF000000"/>
        <rFont val="Arial"/>
      </rPr>
      <t>2</t>
    </r>
    <r>
      <rPr>
        <sz val="8"/>
        <color rgb="FF000000"/>
        <rFont val="Arial"/>
      </rPr>
      <t>O), (3) SO</t>
    </r>
    <r>
      <rPr>
        <vertAlign val="subscript"/>
        <sz val="8"/>
        <color rgb="FF000000"/>
        <rFont val="Arial"/>
      </rPr>
      <t>x</t>
    </r>
    <r>
      <rPr>
        <sz val="8"/>
        <color rgb="FF000000"/>
        <rFont val="Arial"/>
      </rPr>
      <t xml:space="preserve">, (4) particulate matter (PM10), (5) mercury (Hg), (6) lead (Pb), and (7) volatile organic compounds (VOCs). </t>
    </r>
  </si>
  <si>
    <r>
      <rPr>
        <b/>
        <sz val="10"/>
        <color rgb="FF000000"/>
        <rFont val="Arial"/>
      </rPr>
      <t>Air quality: Site level (tonnes)</t>
    </r>
    <r>
      <rPr>
        <b/>
        <vertAlign val="superscript"/>
        <sz val="10"/>
        <color rgb="FF000000"/>
        <rFont val="Arial"/>
      </rPr>
      <t>1, 2</t>
    </r>
  </si>
  <si>
    <r>
      <rPr>
        <vertAlign val="superscript"/>
        <sz val="8"/>
        <color rgb="FF000000"/>
        <rFont val="Arial"/>
      </rPr>
      <t>1</t>
    </r>
    <r>
      <rPr>
        <sz val="8"/>
        <color rgb="FF000000"/>
        <rFont val="Arial"/>
      </rPr>
      <t xml:space="preserve"> Water intensity figures: GEO (Gold Equivalent Ounces)  includes total produced and co-product GEO as originally defined in the Newmont December 2020 Financial Summary results and then adjusted to match the reporting boundary of the 2020 Annual Sustainability Report. The tonnes of ore produced is based on the operational statistics, publicly available in our 10-K.
</t>
    </r>
    <r>
      <rPr>
        <vertAlign val="superscript"/>
        <sz val="8"/>
        <color rgb="FF000000"/>
        <rFont val="Arial"/>
      </rPr>
      <t xml:space="preserve">2  </t>
    </r>
    <r>
      <rPr>
        <sz val="8"/>
        <color rgb="FF000000"/>
        <rFont val="Arial"/>
      </rPr>
      <t xml:space="preserve">Discharge includes seepage that is not captured. 
</t>
    </r>
    <r>
      <rPr>
        <vertAlign val="superscript"/>
        <sz val="8"/>
        <color rgb="FF000000"/>
        <rFont val="Arial"/>
        <family val="2"/>
      </rPr>
      <t>3</t>
    </r>
    <r>
      <rPr>
        <sz val="8"/>
        <color rgb="FF000000"/>
        <rFont val="Arial"/>
      </rPr>
      <t xml:space="preserve"> GRI Standards disclosures GRI 303-3: Water withdrawal; GRI 303-4: Water discharge, GRI 303-5: Water consumption; SASB Metals &amp; Mining Sustainability Accounting Standard EM-MM-140a.1: Total freshwater withdrawn, consumed, percentage of each in high or extremely high baseline water stress. 
</t>
    </r>
  </si>
  <si>
    <r>
      <rPr>
        <b/>
        <sz val="10"/>
        <color rgb="FF000000"/>
        <rFont val="Arial"/>
      </rPr>
      <t>Water summary by site (thousand kL)</t>
    </r>
    <r>
      <rPr>
        <b/>
        <vertAlign val="superscript"/>
        <sz val="10"/>
        <color rgb="FF000000"/>
        <rFont val="Arial"/>
        <family val="2"/>
      </rPr>
      <t>3</t>
    </r>
  </si>
  <si>
    <r>
      <t>Total water discharged</t>
    </r>
    <r>
      <rPr>
        <b/>
        <vertAlign val="superscript"/>
        <sz val="10"/>
        <color rgb="FF000000"/>
        <rFont val="Arial"/>
        <family val="2"/>
      </rPr>
      <t>1</t>
    </r>
  </si>
  <si>
    <r>
      <t>2020 water intensity - GEO</t>
    </r>
    <r>
      <rPr>
        <b/>
        <vertAlign val="superscript"/>
        <sz val="10"/>
        <color rgb="FF000000"/>
        <rFont val="Arial"/>
        <family val="2"/>
      </rPr>
      <t>2</t>
    </r>
  </si>
  <si>
    <r>
      <t>2020 water intensity - tonnes ore processed</t>
    </r>
    <r>
      <rPr>
        <b/>
        <vertAlign val="superscript"/>
        <sz val="10"/>
        <color rgb="FF000000"/>
        <rFont val="Arial"/>
        <family val="2"/>
      </rPr>
      <t>2</t>
    </r>
  </si>
  <si>
    <r>
      <rPr>
        <vertAlign val="superscript"/>
        <sz val="8"/>
        <color rgb="FF000000"/>
        <rFont val="Arial"/>
      </rPr>
      <t>1</t>
    </r>
    <r>
      <rPr>
        <sz val="8"/>
        <color rgb="FF000000"/>
        <rFont val="Arial"/>
      </rPr>
      <t xml:space="preserve"> Water quality categories are based on the Minerals Council of Australia definitions.
</t>
    </r>
    <r>
      <rPr>
        <vertAlign val="superscript"/>
        <sz val="8"/>
        <color rgb="FF000000"/>
        <rFont val="Arial"/>
        <family val="2"/>
      </rPr>
      <t>2</t>
    </r>
    <r>
      <rPr>
        <sz val="8"/>
        <color rgb="FF000000"/>
        <rFont val="Arial"/>
      </rPr>
      <t xml:space="preserve"> GRI Standards disclosure GRI 303-3: Water withdrawal; SASB Metals &amp; Mining Sustainability Accounting Standards EM-MM-140a.1: (1) Total fresh water withdrawn. </t>
    </r>
  </si>
  <si>
    <r>
      <rPr>
        <b/>
        <sz val="10"/>
        <color rgb="FF000000"/>
        <rFont val="Arial"/>
      </rPr>
      <t>2020 Total water withdrawal and discharge by category and site</t>
    </r>
    <r>
      <rPr>
        <b/>
        <vertAlign val="superscript"/>
        <sz val="10"/>
        <color rgb="FF000000"/>
        <rFont val="Arial"/>
      </rPr>
      <t>1,2</t>
    </r>
  </si>
  <si>
    <r>
      <rPr>
        <vertAlign val="superscript"/>
        <sz val="8"/>
        <color rgb="FF000000"/>
        <rFont val="Arial"/>
      </rPr>
      <t>1</t>
    </r>
    <r>
      <rPr>
        <sz val="8"/>
        <color rgb="FF000000"/>
        <rFont val="Arial"/>
      </rPr>
      <t xml:space="preserve"> Untreated discharge to surface water includes CC&amp;V, Ahafo, Porcupine sites. Treated discharge to surface water includes Yanacocha, Red Lake sites. Treated discharge by other includes Merian, Musselwhite, Éléonore, Porcupine sites. Treated discharge by RO includes Yanacocha and Ahafo sites. Treated discharge by other (groundwater reinjection and supply provided to communities) includes Akyem, Penasquito sites. Untreated to groundwater includes KCGM site as well as untreated to third parties. Treated effluent (mining and domestic sewage) for Éléonore site.
</t>
    </r>
    <r>
      <rPr>
        <vertAlign val="superscript"/>
        <sz val="8"/>
        <color rgb="FF000000"/>
        <rFont val="Arial"/>
        <family val="2"/>
      </rPr>
      <t>2</t>
    </r>
    <r>
      <rPr>
        <sz val="8"/>
        <color rgb="FF000000"/>
        <rFont val="Arial"/>
      </rPr>
      <t xml:space="preserve"> This number went up between 2019 and 2020 because seepage is now included. Seepage that impacts water quality is managed in our site water management plans.
</t>
    </r>
    <r>
      <rPr>
        <vertAlign val="superscript"/>
        <sz val="8"/>
        <color rgb="FF000000"/>
        <rFont val="Arial"/>
        <family val="2"/>
      </rPr>
      <t>3</t>
    </r>
    <r>
      <rPr>
        <sz val="8"/>
        <color rgb="FF000000"/>
        <rFont val="Arial"/>
      </rPr>
      <t xml:space="preserve"> We increased the amount of reverse osmosis occurring at a few of our sites. We have combined our acid water treatment and reverse osmosis. Our RO has increased and we have combined acid water treatment and RO into one category.
</t>
    </r>
    <r>
      <rPr>
        <vertAlign val="superscript"/>
        <sz val="8"/>
        <color rgb="FF000000"/>
        <rFont val="Arial"/>
        <family val="2"/>
      </rPr>
      <t>4</t>
    </r>
    <r>
      <rPr>
        <vertAlign val="superscript"/>
        <sz val="8"/>
        <color rgb="FF000000"/>
        <rFont val="Arial"/>
      </rPr>
      <t xml:space="preserve"> </t>
    </r>
    <r>
      <rPr>
        <sz val="8"/>
        <color rgb="FF000000"/>
        <rFont val="Arial"/>
      </rPr>
      <t xml:space="preserve">GRI Standards disclosures GRI 303-2: Water discharge, and GRI 306-1: Water discharge by quality and destination. </t>
    </r>
  </si>
  <si>
    <r>
      <rPr>
        <b/>
        <sz val="10"/>
        <color rgb="FF000000"/>
        <rFont val="Arial"/>
      </rPr>
      <t>Total treated water by destination and site (thousand kL)</t>
    </r>
    <r>
      <rPr>
        <b/>
        <vertAlign val="superscript"/>
        <sz val="10"/>
        <color rgb="FF000000"/>
        <rFont val="Arial"/>
      </rPr>
      <t>1,4</t>
    </r>
  </si>
  <si>
    <r>
      <t>Treated discharge by reverse osmosis or acid water treatment</t>
    </r>
    <r>
      <rPr>
        <b/>
        <vertAlign val="superscript"/>
        <sz val="10"/>
        <color rgb="FF000000"/>
        <rFont val="Arial"/>
      </rPr>
      <t>2,3</t>
    </r>
  </si>
  <si>
    <r>
      <rPr>
        <b/>
        <sz val="10"/>
        <color rgb="FF000000"/>
        <rFont val="Arial"/>
      </rPr>
      <t>2020 Total untreated water by destination and site (thousand kL)</t>
    </r>
    <r>
      <rPr>
        <b/>
        <vertAlign val="superscript"/>
        <sz val="10"/>
        <color rgb="FF000000"/>
        <rFont val="Arial"/>
        <family val="2"/>
      </rPr>
      <t>1</t>
    </r>
  </si>
  <si>
    <r>
      <rPr>
        <vertAlign val="superscript"/>
        <sz val="8"/>
        <color rgb="FF000000"/>
        <rFont val="Arial"/>
      </rPr>
      <t>1</t>
    </r>
    <r>
      <rPr>
        <sz val="8"/>
        <color rgb="FF000000"/>
        <rFont val="Arial"/>
      </rPr>
      <t xml:space="preserve"> GRI Standards disclosures GRI 303-2: Water discharge, and GRI 306-1: Water discharge by quality and destination. </t>
    </r>
  </si>
  <si>
    <r>
      <rPr>
        <vertAlign val="superscript"/>
        <sz val="8"/>
        <color rgb="FF000000"/>
        <rFont val="Arial"/>
      </rPr>
      <t>1</t>
    </r>
    <r>
      <rPr>
        <sz val="8"/>
        <color rgb="FF000000"/>
        <rFont val="Arial"/>
      </rPr>
      <t xml:space="preserve"> Groundwater does include entrainment in ore.
</t>
    </r>
    <r>
      <rPr>
        <vertAlign val="superscript"/>
        <sz val="8"/>
        <color rgb="FF000000"/>
        <rFont val="Arial"/>
      </rPr>
      <t>2</t>
    </r>
    <r>
      <rPr>
        <sz val="8"/>
        <color rgb="FF000000"/>
        <rFont val="Arial"/>
      </rPr>
      <t xml:space="preserve"> Precipitation volumes includes runoff that is captured from rainfall on tailings storage facilities and heap leaches for all facilities except Yanacocha, Akyem and Boddington which also include runoff that is captured from waste rock piles. 
</t>
    </r>
    <r>
      <rPr>
        <vertAlign val="superscript"/>
        <sz val="8"/>
        <color rgb="FF000000"/>
        <rFont val="Arial"/>
        <family val="2"/>
      </rPr>
      <t>3</t>
    </r>
    <r>
      <rPr>
        <sz val="8"/>
        <color rgb="FF000000"/>
        <rFont val="Arial"/>
      </rPr>
      <t xml:space="preserve"> GRI Standards disclosure GRI 303-3 Water withdrawal.</t>
    </r>
  </si>
  <si>
    <r>
      <t>Groundwater</t>
    </r>
    <r>
      <rPr>
        <b/>
        <vertAlign val="superscript"/>
        <sz val="10"/>
        <color rgb="FF000000"/>
        <rFont val="Arial"/>
      </rPr>
      <t>1</t>
    </r>
  </si>
  <si>
    <r>
      <rPr>
        <b/>
        <sz val="10"/>
        <color rgb="FF000000"/>
        <rFont val="Arial"/>
      </rPr>
      <t>Water withdrawal by site (thousand kL)</t>
    </r>
    <r>
      <rPr>
        <b/>
        <vertAlign val="superscript"/>
        <sz val="10"/>
        <color rgb="FF000000"/>
        <rFont val="Arial"/>
        <family val="2"/>
      </rPr>
      <t>3</t>
    </r>
  </si>
  <si>
    <r>
      <t>Water summary (thousand kL): Trailing five year data</t>
    </r>
    <r>
      <rPr>
        <b/>
        <vertAlign val="superscript"/>
        <sz val="10"/>
        <color rgb="FF000000"/>
        <rFont val="Arial"/>
      </rPr>
      <t>1,3</t>
    </r>
  </si>
  <si>
    <r>
      <rPr>
        <vertAlign val="superscript"/>
        <sz val="8"/>
        <color rgb="FF000000"/>
        <rFont val="Arial"/>
      </rPr>
      <t xml:space="preserve">1 </t>
    </r>
    <r>
      <rPr>
        <sz val="8"/>
        <color rgb="FF000000"/>
        <rFont val="Arial"/>
      </rPr>
      <t xml:space="preserve">Several changes were made to our reporting in 2020 including adding entrainment in ore to our groundwater withdrawals and adding seepage (that is not captured) to discharge. Seepage that is impacting water quality is captured and returned to the system for use in operations, treated and discharged.
</t>
    </r>
    <r>
      <rPr>
        <vertAlign val="superscript"/>
        <sz val="8"/>
        <color rgb="FF000000"/>
        <rFont val="Arial"/>
      </rPr>
      <t>2</t>
    </r>
    <r>
      <rPr>
        <sz val="8"/>
        <color rgb="FF000000"/>
        <rFont val="Arial"/>
      </rPr>
      <t xml:space="preserve"> Disclosure follows Mining Canada Association (MCA) Water Accounting Framework and site-wide water balance reporting.
</t>
    </r>
    <r>
      <rPr>
        <vertAlign val="superscript"/>
        <sz val="8"/>
        <color rgb="FF000000"/>
        <rFont val="Arial"/>
        <family val="2"/>
      </rPr>
      <t>3</t>
    </r>
    <r>
      <rPr>
        <sz val="8"/>
        <color rgb="FF000000"/>
        <rFont val="Arial"/>
      </rPr>
      <t xml:space="preserve"> Water withdrawn is defined as water that is received extracted or managed by an operation; designated by type surface water, groundwater, third party (municipal) or seawater.  
</t>
    </r>
    <r>
      <rPr>
        <vertAlign val="superscript"/>
        <sz val="8"/>
        <color rgb="FF000000"/>
        <rFont val="Arial"/>
        <family val="2"/>
      </rPr>
      <t>4</t>
    </r>
    <r>
      <rPr>
        <sz val="8"/>
        <color rgb="FF000000"/>
        <rFont val="Arial"/>
      </rPr>
      <t xml:space="preserve"> Water recycled/reused is defined as water that is reused or recycled within the site for operational use. 
</t>
    </r>
    <r>
      <rPr>
        <vertAlign val="superscript"/>
        <sz val="8"/>
        <color rgb="FF000000"/>
        <rFont val="Arial"/>
        <family val="2"/>
      </rPr>
      <t>5</t>
    </r>
    <r>
      <rPr>
        <sz val="8"/>
        <color rgb="FF000000"/>
        <rFont val="Arial"/>
      </rPr>
      <t xml:space="preserve"> Water consumed is defined as water that is no longer available for use. The water consumed data in this table reflects the GRI definition for water consumption (withdrawal minus consumption); ICMM definition for water consumption is defined as evaporation plus entrainment (tailings/waste) plus other losses for operational use. Under the ICMM definition, our water consumption is 165,435 megalitres.  
</t>
    </r>
    <r>
      <rPr>
        <vertAlign val="superscript"/>
        <sz val="8"/>
        <color rgb="FF000000"/>
        <rFont val="Arial"/>
        <family val="2"/>
      </rPr>
      <t>6</t>
    </r>
    <r>
      <rPr>
        <sz val="8"/>
        <color rgb="FF000000"/>
        <rFont val="Arial"/>
      </rPr>
      <t xml:space="preserve"> Water discharged is defined as water removed from the operation and returned to the environment; discharged water includes treated and untreated water as well as water that is provided to third parties.
</t>
    </r>
  </si>
  <si>
    <r>
      <rPr>
        <b/>
        <sz val="10"/>
        <color rgb="FF000000"/>
        <rFont val="Arial"/>
      </rPr>
      <t>Water balance</t>
    </r>
    <r>
      <rPr>
        <b/>
        <vertAlign val="superscript"/>
        <sz val="10"/>
        <color rgb="FF000000"/>
        <rFont val="Arial"/>
      </rPr>
      <t>1,2</t>
    </r>
  </si>
  <si>
    <r>
      <t>Water withdrawn total</t>
    </r>
    <r>
      <rPr>
        <b/>
        <vertAlign val="superscript"/>
        <sz val="10"/>
        <color rgb="FF000000"/>
        <rFont val="Arial"/>
        <family val="2"/>
      </rPr>
      <t>3</t>
    </r>
  </si>
  <si>
    <r>
      <t>Water recycled/reused</t>
    </r>
    <r>
      <rPr>
        <b/>
        <vertAlign val="superscript"/>
        <sz val="10"/>
        <color rgb="FF000000"/>
        <rFont val="Arial"/>
        <family val="2"/>
      </rPr>
      <t>4</t>
    </r>
  </si>
  <si>
    <r>
      <t>Water consumed</t>
    </r>
    <r>
      <rPr>
        <b/>
        <vertAlign val="superscript"/>
        <sz val="10"/>
        <color rgb="FF000000"/>
        <rFont val="Arial"/>
        <family val="2"/>
      </rPr>
      <t>5</t>
    </r>
  </si>
  <si>
    <r>
      <t>Water discharged total</t>
    </r>
    <r>
      <rPr>
        <b/>
        <vertAlign val="superscript"/>
        <sz val="10"/>
        <color rgb="FF000000"/>
        <rFont val="Arial"/>
        <family val="2"/>
      </rPr>
      <t>6</t>
    </r>
  </si>
  <si>
    <r>
      <rPr>
        <vertAlign val="superscript"/>
        <sz val="8"/>
        <color rgb="FF000000"/>
        <rFont val="Arial"/>
      </rPr>
      <t>1</t>
    </r>
    <r>
      <rPr>
        <sz val="8"/>
        <color rgb="FF000000"/>
        <rFont val="Arial"/>
      </rPr>
      <t xml:space="preserve"> 2019 water intensity data includes former Goldcorp sites' full 2019 figures (rather than post-acquisition figures only) to provide greater year-over-year comparability. In addition to gold equivalent ounces, The methodology used to estimate comparable intensity-based revenues figures for pre-acquisition Goldcorp sites from Jan 1 to April 17, 2019 include adjustments to align former Goldcorp revenues with U.S. GAAP.  Newmont began reporting multiple intensity-based denominators (GEO, ore processes and revenues) in 2019; prior years are not reported (N/R), but may be updated in future disclosures.
</t>
    </r>
    <r>
      <rPr>
        <vertAlign val="superscript"/>
        <sz val="8"/>
        <color rgb="FF000000"/>
        <rFont val="Arial"/>
      </rPr>
      <t xml:space="preserve">2 </t>
    </r>
    <r>
      <rPr>
        <sz val="8"/>
        <color rgb="FF000000"/>
        <rFont val="Arial"/>
      </rPr>
      <t xml:space="preserve">2016-2018 data has not been adjusted or backcast to reflect the current asset portfolio.
</t>
    </r>
    <r>
      <rPr>
        <vertAlign val="superscript"/>
        <sz val="8"/>
        <color rgb="FF000000"/>
        <rFont val="Arial"/>
      </rPr>
      <t xml:space="preserve">3 </t>
    </r>
    <r>
      <rPr>
        <sz val="8"/>
        <color rgb="FF000000"/>
        <rFont val="Arial"/>
      </rPr>
      <t xml:space="preserve">Our intensity was higher in 2020 due to a lower production denominator due to the COVID-19 pandemic.
</t>
    </r>
    <r>
      <rPr>
        <vertAlign val="superscript"/>
        <sz val="8"/>
        <color rgb="FF000000"/>
        <rFont val="Arial"/>
      </rPr>
      <t>4</t>
    </r>
    <r>
      <rPr>
        <sz val="8"/>
        <color rgb="FF000000"/>
        <rFont val="Arial"/>
      </rPr>
      <t xml:space="preserve"> GRI Standards disclosure GRI 303-5: Water consumption.</t>
    </r>
  </si>
  <si>
    <r>
      <rPr>
        <b/>
        <sz val="11"/>
        <color rgb="FF000000"/>
        <rFont val="Arial"/>
        <family val="2"/>
      </rPr>
      <t>Business ethics and transparency</t>
    </r>
    <r>
      <rPr>
        <sz val="11"/>
        <color rgb="FF000000"/>
        <rFont val="Arial"/>
        <family val="2"/>
      </rPr>
      <t>: Compliance and significant events, ethics and anti-corruption measures, policy influence</t>
    </r>
  </si>
  <si>
    <r>
      <rPr>
        <b/>
        <sz val="11"/>
        <color rgb="FF000000"/>
        <rFont val="Arial"/>
        <family val="2"/>
      </rPr>
      <t>Environment</t>
    </r>
    <r>
      <rPr>
        <sz val="11"/>
        <color rgb="FF000000"/>
        <rFont val="Arial"/>
        <family val="2"/>
      </rPr>
      <t>: Air quality, biodiversity, climate change, closure and reclamation, cyanide management, significant materials consumption, spills and releases, tailings management, water stewardship, waste</t>
    </r>
  </si>
  <si>
    <r>
      <rPr>
        <b/>
        <sz val="11"/>
        <color rgb="FF000000"/>
        <rFont val="Arial"/>
        <family val="2"/>
      </rPr>
      <t>Health and safety</t>
    </r>
    <r>
      <rPr>
        <sz val="11"/>
        <color rgb="FF000000"/>
        <rFont val="Arial"/>
        <family val="2"/>
      </rPr>
      <t>: COVID-19 health and safety statistics, emergency preparedness, health and safety</t>
    </r>
  </si>
  <si>
    <r>
      <rPr>
        <b/>
        <sz val="11"/>
        <color rgb="FF000000"/>
        <rFont val="Arial"/>
        <family val="2"/>
      </rPr>
      <t>Social</t>
    </r>
    <r>
      <rPr>
        <sz val="11"/>
        <color rgb="FF000000"/>
        <rFont val="Arial"/>
        <family val="2"/>
      </rPr>
      <t>: Artisanal and small-scale mining, community development, community impacts, complaints and grievances, human rights assessments, human rights supplier screening, human rights training for security, human rights training for the workforce, Indigenous peoples, land or resource disputes, resettlement and/or relocation activity, social impact assessment and engagement</t>
    </r>
  </si>
  <si>
    <r>
      <rPr>
        <b/>
        <sz val="11"/>
        <color rgb="FF000000"/>
        <rFont val="Arial"/>
        <family val="2"/>
      </rPr>
      <t>Value sharing</t>
    </r>
    <r>
      <rPr>
        <sz val="11"/>
        <color rgb="FF000000"/>
        <rFont val="Arial"/>
        <family val="2"/>
      </rPr>
      <t>: COVID-19 Global Community Support Fund, community investments, economic value generated and distributed, supply chain, tax transparency</t>
    </r>
  </si>
  <si>
    <r>
      <rPr>
        <b/>
        <sz val="11"/>
        <color rgb="FF000000"/>
        <rFont val="Arial"/>
        <family val="2"/>
      </rPr>
      <t>Workforce</t>
    </r>
    <r>
      <rPr>
        <sz val="11"/>
        <color rgb="FF000000"/>
        <rFont val="Arial"/>
        <family val="2"/>
      </rPr>
      <t xml:space="preserve">: Workforce demographics, compensation and equal remuneration, diversity and inclusion, labor management relations, talent attraction and retention, training and professional development </t>
    </r>
  </si>
  <si>
    <r>
      <rPr>
        <b/>
        <sz val="11"/>
        <color rgb="FF000000"/>
        <rFont val="Arial"/>
        <family val="2"/>
      </rPr>
      <t>Currencies</t>
    </r>
    <r>
      <rPr>
        <sz val="11"/>
        <color rgb="FF000000"/>
        <rFont val="Arial"/>
        <family val="2"/>
      </rPr>
      <t>: All financial figures are quoted in U.S. dollars unless otherwise noted. Currencies: All financial figures are quoted in U.S. dollars unless otherwise noted.</t>
    </r>
  </si>
  <si>
    <r>
      <rPr>
        <b/>
        <sz val="11"/>
        <color rgb="FF000000"/>
        <rFont val="Arial"/>
        <family val="2"/>
      </rPr>
      <t>Rounding</t>
    </r>
    <r>
      <rPr>
        <sz val="11"/>
        <color rgb="FF000000"/>
        <rFont val="Arial"/>
        <family val="2"/>
      </rPr>
      <t>: Some figures and percentages may not add up to the total figure or 100 percent due to rounding.</t>
    </r>
  </si>
  <si>
    <r>
      <rPr>
        <b/>
        <sz val="11"/>
        <color rgb="FF000000"/>
        <rFont val="Arial"/>
        <family val="2"/>
      </rPr>
      <t>Intensity-based denominators</t>
    </r>
    <r>
      <rPr>
        <sz val="11"/>
        <color rgb="FF000000"/>
        <rFont val="Arial"/>
        <family val="2"/>
      </rPr>
      <t>: To ensure comparability with reporting boundaries, intensity-based denominators (gold equivalent ounces and other production-based figures) have been reviewed to ensure that only production data for sites included in our sustainability reporting boundaries are also included in our sustainability-related intensity-based denominators. For this reason, some figures may vary from production figures produced in Newmont’s annual financial or production disclosures.</t>
    </r>
  </si>
  <si>
    <t>We welcome feedback on this report or any other aspect of our sustainability performance. For a full list of contacts at Newmont, please visit Contact Us on our website.</t>
  </si>
  <si>
    <t>This performance data reflects the annual disclosure of our sustainability performance at wholly owned operations and joint ventures where Newmont is the operator. In 2019, our operating portfolio underwent a significant transformation with the acquisition of Goldcorp’s world-class mine sites and the formation of Nevada Gold Mines, a joint venture with Barrick Gold Corporation (“Barrick”) in which Newmont and Barrick contributed their Nevada operations and assets in exchange for a 38.5 percent and 61.5 percent interest, respectively, with Barrick as the operator.
References to “Newmont”, “the Company”, “we” and “our” refer to Newmont Corporation (formerly Newmont Goldcorp Corporation and Newmont Mining Corporation) and/or our affiliates, joint ventures and subsidiaries. References to “Goldcorp” or “former Goldcorp” refer to Goldcorp, Inc. prior to its acquisition by Newmont. 
References to “former Newmont” refer to Newmont Mining Corporation — the entity name before the acquisition of Goldcorp. Although these transactions closed in the middle of 2019, where possible, data for the former Newmont sites and former Goldcorp sites have been consolidated. Data presented in this report covers our performance for the 2020 calendar year, which corresponds to our fiscal year.
Any future restatements of this data set will be noted with the date and explanation for the restatement.  
Apex Companies, LLC (formerly the HSE consulting division of Bureau Veritas North America, Inc.) undertook the assurance for material 2020 data sets. Reference the GRI Content Index and the Apex Independent Assurance Statement for additional details. 
Reporting standards: Data in the ESG data tables include GRI Standards, GRI Mining and Metals Sector disclosures, Sustainability Accounting Standards Board (SASB) Metals &amp; Mining industry standard (version 2018-10), and the Task Force on Climate-related Financial Disclosures (TCFD).</t>
  </si>
  <si>
    <r>
      <rPr>
        <b/>
        <sz val="11"/>
        <rFont val="Arial"/>
        <family val="2"/>
      </rPr>
      <t>Financial and Investor Relations</t>
    </r>
    <r>
      <rPr>
        <sz val="11"/>
        <rFont val="Arial"/>
        <family val="2"/>
      </rPr>
      <t xml:space="preserve">: For additional information about Newmont's Investor Relations presentations, financial filings and communications, visit Newmont's Investor Relations page at: https://www.newmont.com/investors/default.aspx.
</t>
    </r>
    <r>
      <rPr>
        <b/>
        <sz val="11"/>
        <rFont val="Arial"/>
        <family val="2"/>
      </rPr>
      <t>Board, executive compensation, related details</t>
    </r>
    <r>
      <rPr>
        <sz val="11"/>
        <rFont val="Arial"/>
        <family val="2"/>
      </rPr>
      <t xml:space="preserve">: More information on director and executive compensation and the process for communicating with the Board is reported in our 2020 Proxy Statement.
</t>
    </r>
    <r>
      <rPr>
        <b/>
        <sz val="11"/>
        <rFont val="Arial"/>
        <family val="2"/>
      </rPr>
      <t>Governance and ethics</t>
    </r>
    <r>
      <rPr>
        <sz val="11"/>
        <rFont val="Arial"/>
        <family val="2"/>
      </rPr>
      <t xml:space="preserve">: Details of our Board's bylaws, committee charters, guidelines, Newmont Code of Conduct, Supplier Code of Conduct, Political Contributions, public Newmont policies and standards, lobbying reports and other governance practices are available on our website at: https://www.newmont.com/about-us/governance-and-ethics/default.aspx.
</t>
    </r>
    <r>
      <rPr>
        <b/>
        <sz val="11"/>
        <rFont val="Arial"/>
        <family val="2"/>
      </rPr>
      <t>Sustainability and related details:</t>
    </r>
    <r>
      <rPr>
        <sz val="11"/>
        <rFont val="Arial"/>
        <family val="2"/>
      </rPr>
      <t xml:space="preserve"> Additional sustainability data can be found at Newmont.com. This data includes archives of Newmont and Goldcorp annual sustainability reports, CDP Climate and Water disclosures, Conflict-Free Gold reports, and related disclosures.
</t>
    </r>
    <r>
      <rPr>
        <b/>
        <sz val="11"/>
        <rFont val="Arial"/>
        <family val="2"/>
      </rPr>
      <t>2020 annual sustainability reporting suite</t>
    </r>
    <r>
      <rPr>
        <sz val="11"/>
        <rFont val="Arial"/>
        <family val="2"/>
      </rPr>
      <t xml:space="preserve">: The 2020 ESG data tables are part of a larger suite of sustainability disclosures; companion publications include the 2020 Annual Sustainability Report; the 2020 Performance Data section (a design version of the ESG data tables), the 2020 GRI Content Index, and the 2020 Climate Strategy Report which will be published in mid-2021.
</t>
    </r>
    <r>
      <rPr>
        <b/>
        <sz val="11"/>
        <rFont val="Arial"/>
        <family val="2"/>
      </rPr>
      <t>COVID-19</t>
    </r>
    <r>
      <rPr>
        <sz val="11"/>
        <rFont val="Arial"/>
        <family val="2"/>
      </rPr>
      <t xml:space="preserve">: For real-time updates on expenditures and recipients for the US $20M Newmont Global Community Support Fund (supporting economic resilience, food security, health and other), which launched on April 9, 2020 and is meant to help host communities, governments and employees combat the COVID-19 pandemic, visit: https://www.newmont.com/operations-and-projects/health-and-safety/default.aspx. 
</t>
    </r>
    <r>
      <rPr>
        <b/>
        <sz val="11"/>
        <rFont val="Arial"/>
        <family val="2"/>
      </rPr>
      <t>News</t>
    </r>
    <r>
      <rPr>
        <sz val="11"/>
        <rFont val="Arial"/>
        <family val="2"/>
      </rPr>
      <t>: Press releases, updates are posted in our online Newsroom, available at: https://www.newmont.com/investors/news-release/default.aspx</t>
    </r>
  </si>
  <si>
    <t>VALUE SHARING: COVID-19 GLOBAL FUND</t>
  </si>
  <si>
    <t>Percent renewable</t>
  </si>
  <si>
    <t>Percent non-renewable</t>
  </si>
  <si>
    <r>
      <t>Estimated grid electricity mix</t>
    </r>
    <r>
      <rPr>
        <b/>
        <vertAlign val="superscript"/>
        <sz val="10"/>
        <color rgb="FF000000"/>
        <rFont val="Arial"/>
        <family val="2"/>
      </rPr>
      <t>1</t>
    </r>
  </si>
  <si>
    <r>
      <rPr>
        <vertAlign val="superscript"/>
        <sz val="8"/>
        <rFont val="Arial"/>
        <family val="2"/>
      </rPr>
      <t>1</t>
    </r>
    <r>
      <rPr>
        <sz val="8"/>
        <rFont val="Arial"/>
        <family val="2"/>
      </rPr>
      <t>This is an estimate. Since our switch to market-based GHG accounting, we are still working through definiting the exact grid mixes of sites at which we don't yet have PPAs. Some of the grid mixes of our sites were updated in our switch to market-based GHG accounting, and some remain location-based averages until we work through which renewables we can take credit for.</t>
    </r>
  </si>
  <si>
    <t>Energy Intensity</t>
  </si>
  <si>
    <t>GJ per $ Revenue</t>
  </si>
  <si>
    <t>GJ per GEO</t>
  </si>
  <si>
    <t>ENVIRONMENT: ENVIRONMENTAL OPERATING EXPENDITURES</t>
  </si>
  <si>
    <t>Environmental Operating Expenditures</t>
  </si>
  <si>
    <t>Environmental Operating Expenditures (millions): Trailing four year data</t>
  </si>
  <si>
    <t xml:space="preserve">Version control:
Version 2 - ESG Data Tables posted 13 July 2021 - Updated Environmental Expenditures tab
Version 1 - Original posted on June 2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</si>
</sst>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43" formatCode="_(* #,##0.00_);_(* \(#,##0.00\);_(* &quot;-&quot;??_);_(@_)"/>
    <numFmt numFmtId="164" formatCode="&quot;$&quot;* #,##0_);&quot;$&quot;* \(#,##0\);&quot;$&quot;* #,##0_);_(@_)"/>
    <numFmt numFmtId="165" formatCode="#0;&quot;-&quot;#0;#0;_(@_)"/>
    <numFmt numFmtId="166" formatCode="&quot;$&quot;* #,##0_);&quot;$&quot;* \(#,##0\);&quot;$&quot;* &quot;-&quot;_);_(@_)"/>
    <numFmt numFmtId="167" formatCode="#,##0;&quot;-&quot;#,##0;#,##0;_(@_)"/>
    <numFmt numFmtId="168" formatCode="#0.#######################_)%;\(#0.#######################\)%;&quot;-&quot;_)\%;_(@_)"/>
    <numFmt numFmtId="169" formatCode="#0_)%;\(#0\)%;&quot;-&quot;_)\%;_(@_)"/>
    <numFmt numFmtId="170" formatCode="#,##0.00;&quot;-&quot;#,##0.00;#,##0.00;_(@_)"/>
    <numFmt numFmtId="171" formatCode="#0.0;&quot;-&quot;#0.0;#0.0;_(@_)"/>
    <numFmt numFmtId="172" formatCode="#0.0,;&quot;-&quot;#0.0,;#0.0,;_(@_)"/>
    <numFmt numFmtId="173" formatCode="#0.0_)%;\(#0.0\)%;&quot;-&quot;_)\%;_(@_)"/>
    <numFmt numFmtId="174" formatCode="#0;\(#0\);&quot;-&quot;;_(@_)"/>
    <numFmt numFmtId="175" formatCode="#,##0.0;&quot;-&quot;#,##0.0;#,##0.0;_(@_)"/>
    <numFmt numFmtId="176" formatCode="* #,##0.0;* \(#,##0.0\);* #,##0.0;_(@_)"/>
    <numFmt numFmtId="177" formatCode="#,##0.00,;&quot;-&quot;#,##0.00,;#,##0.00,;_(@_)"/>
    <numFmt numFmtId="178" formatCode="* #,##0.000,,;* \(#,##0.000,,\);* #,##0.000,,;_(@_)"/>
    <numFmt numFmtId="179" formatCode="* #,##0.000;* \(#,##0.000\);* #,##0.000;_(@_)"/>
    <numFmt numFmtId="180" formatCode="* #,##0.00;* \(#,##0.00\);* &quot;-&quot;;_(@_)"/>
    <numFmt numFmtId="181" formatCode="#0.00;&quot;-&quot;#0.00;&quot;-&quot;;_(@_)"/>
    <numFmt numFmtId="182" formatCode="#0.00,;&quot;-&quot;#0.00,;&quot;-&quot;;_(@_)"/>
    <numFmt numFmtId="183" formatCode="#0.00_)%;\(#0.00\)%;#0.00_)%;_(@_)"/>
    <numFmt numFmtId="184" formatCode="* #,##0;* \(#,##0\);* &quot;-&quot;;_(@_)"/>
    <numFmt numFmtId="185" formatCode="* #,##0.00;* \(#,##0.00\);* #,##0.00;_(@_)"/>
    <numFmt numFmtId="186" formatCode="#0.0_)%;\(#0.0\)%;#0.0_)%;_(@_)"/>
    <numFmt numFmtId="187" formatCode="* #,##0.00,;* \(#,##0.00,\);* #,##0.00,;_(@_)"/>
    <numFmt numFmtId="188" formatCode="* #,##0;* \(#,##0\);* #,##0;_(@_)"/>
    <numFmt numFmtId="189" formatCode="#,##0.0;\(#,##0.0\);#,##0.0;_(@_)"/>
    <numFmt numFmtId="190" formatCode="#,##0.00;\(#,##0.00\);#,##0.00;_(@_)"/>
    <numFmt numFmtId="191" formatCode="#,##0.00,;\(#,##0.00,\);#,##0.00,;_(@_)"/>
    <numFmt numFmtId="192" formatCode="#,##0.0,;&quot;-&quot;#,##0.0,;#,##0.0,;_(@_)"/>
    <numFmt numFmtId="193" formatCode="#0.00;&quot;-&quot;#0.00;#0.00;_(@_)"/>
    <numFmt numFmtId="194" formatCode="#0.00,;&quot;-&quot;#0.00,;#0.00,;_(@_)"/>
    <numFmt numFmtId="195" formatCode="* #0;* \(#0\);* &quot;-&quot;;_(@_)"/>
    <numFmt numFmtId="196" formatCode="#0.0;\(#0.0\);#0.0;_(@_)"/>
    <numFmt numFmtId="197" formatCode="#0.0;&quot;-&quot;#0.0;&quot;-&quot;;_(@_)"/>
    <numFmt numFmtId="198" formatCode="#,##0.0,,;&quot;-&quot;#,##0.0,,;#,##0.0,,;_(@_)"/>
    <numFmt numFmtId="199" formatCode="#0.0,,;&quot;-&quot;#0.0,,;#0.0,,;_(@_)"/>
    <numFmt numFmtId="200" formatCode="* #,##0.0;* \(#,##0.0\);* &quot;-&quot;;_(@_)"/>
    <numFmt numFmtId="201" formatCode="#0.00;\(#0.00\);&quot;-&quot;;_(@_)"/>
    <numFmt numFmtId="202" formatCode="#0_)%;\(#0\)%;#0_)%;_(@_)"/>
    <numFmt numFmtId="203" formatCode="#0.#######################;&quot;-&quot;#0.#######################;#0.#######################;_(@_)"/>
    <numFmt numFmtId="204" formatCode="* #,##0;* &quot;-&quot;#,##0;* #,##0;_(@_)"/>
    <numFmt numFmtId="205" formatCode="#,##0,;&quot;-&quot;#,##0,;#,##0,;_(@_)"/>
    <numFmt numFmtId="206" formatCode="&quot;$&quot;* #,##0.00_);&quot;$&quot;* \(#,##0.00\);&quot;$&quot;* #,##0.00_);_(@_)"/>
    <numFmt numFmtId="207" formatCode="&quot;$&quot;* #,##0.00_);&quot;$&quot;* \(#,##0.00\);&quot;$&quot;* &quot;-&quot;_);_(@_)"/>
    <numFmt numFmtId="208" formatCode="&quot;$&quot;* #,##0.0,,_);&quot;$&quot;* \(#,##0.0,,\);&quot;$&quot;* &quot;-&quot;_);_(@_)"/>
    <numFmt numFmtId="209" formatCode="&quot;$&quot;* #,##0.0,,_);&quot;$&quot;* \(#,##0.0,,\);&quot;$&quot;* #,##0.0,,_);_(@_)"/>
    <numFmt numFmtId="210" formatCode="&quot;$&quot;* #,##0.0_);&quot;$&quot;* \(#,##0.0\);&quot;$&quot;* &quot;-&quot;_);_(@_)"/>
    <numFmt numFmtId="211" formatCode="&quot;$&quot;#,##0.0,,;&quot;-&quot;&quot;$&quot;#,##0.0,,;&quot;$&quot;#,##0.0,,;_(@_)"/>
    <numFmt numFmtId="212" formatCode="#0.00,,;&quot;-&quot;#0.00,,;#0.00,,;_(@_)"/>
    <numFmt numFmtId="213" formatCode="* #,##0.00,,;* \(#,##0.00,,\);* &quot;-&quot;;_(@_)"/>
    <numFmt numFmtId="214" formatCode="#,##0_)%;\(#,##0\)%;&quot;-&quot;_)\%;_(@_)"/>
    <numFmt numFmtId="215" formatCode="&quot;$&quot;#,##0;&quot;-&quot;&quot;$&quot;#,##0;&quot;$&quot;#,##0;_(@_)"/>
    <numFmt numFmtId="216" formatCode="_(* #,##0_);_(* \(#,##0\);_(* &quot;-&quot;??_);_(@_)"/>
    <numFmt numFmtId="217" formatCode="0.0%"/>
    <numFmt numFmtId="218" formatCode="0.0"/>
  </numFmts>
  <fonts count="61" x14ac:knownFonts="1">
    <font>
      <sz val="10"/>
      <name val="Arial"/>
    </font>
    <font>
      <b/>
      <sz val="10"/>
      <color rgb="FF000000"/>
      <name val="Arial"/>
    </font>
    <font>
      <sz val="10"/>
      <color rgb="FF000000"/>
      <name val="Arial"/>
    </font>
    <font>
      <b/>
      <sz val="10"/>
      <name val="Arial"/>
    </font>
    <font>
      <sz val="10"/>
      <name val="Arial"/>
    </font>
    <font>
      <sz val="10"/>
      <color rgb="FFBF2115"/>
      <name val="Arial"/>
    </font>
    <font>
      <sz val="8"/>
      <color rgb="FF000000"/>
      <name val="Arial"/>
    </font>
    <font>
      <sz val="9"/>
      <color rgb="FF000000"/>
      <name val="Arial"/>
    </font>
    <font>
      <sz val="18"/>
      <color rgb="FFBF2115"/>
      <name val="Arial"/>
    </font>
    <font>
      <b/>
      <sz val="9"/>
      <color rgb="FF000000"/>
      <name val="Arial"/>
    </font>
    <font>
      <sz val="10"/>
      <color rgb="FFEE2724"/>
      <name val="Arial"/>
    </font>
    <font>
      <sz val="11"/>
      <color rgb="FFEE2724"/>
      <name val="Arial"/>
    </font>
    <font>
      <b/>
      <sz val="11"/>
      <color rgb="FF000000"/>
      <name val="Arial"/>
    </font>
    <font>
      <sz val="8"/>
      <name val="Arial"/>
    </font>
    <font>
      <b/>
      <sz val="12"/>
      <color rgb="FF000000"/>
      <name val="Arial"/>
    </font>
    <font>
      <sz val="11"/>
      <color rgb="FF000000"/>
      <name val="Arial"/>
    </font>
    <font>
      <sz val="8"/>
      <color rgb="FFBF2115"/>
      <name val="Arial"/>
    </font>
    <font>
      <b/>
      <sz val="10"/>
      <color rgb="FFEE2724"/>
      <name val="Arial"/>
    </font>
    <font>
      <b/>
      <sz val="10"/>
      <color rgb="FFFFFFFF"/>
      <name val="Arial"/>
    </font>
    <font>
      <sz val="8"/>
      <color rgb="FFFFFFFF"/>
      <name val="Arial"/>
    </font>
    <font>
      <sz val="10"/>
      <color rgb="FFFFFFFF"/>
      <name val="Arial"/>
    </font>
    <font>
      <b/>
      <sz val="11"/>
      <name val="Arial"/>
    </font>
    <font>
      <sz val="12"/>
      <color rgb="FF000000"/>
      <name val="Arial"/>
    </font>
    <font>
      <sz val="11"/>
      <color rgb="FF000000"/>
      <name val="Calibri"/>
    </font>
    <font>
      <sz val="11"/>
      <color rgb="FFFF0000"/>
      <name val="Calibri"/>
    </font>
    <font>
      <b/>
      <sz val="11"/>
      <color rgb="FF000000"/>
      <name val="Calibri"/>
    </font>
    <font>
      <b/>
      <vertAlign val="superscript"/>
      <sz val="10"/>
      <color rgb="FF000000"/>
      <name val="Arial"/>
    </font>
    <font>
      <vertAlign val="superscript"/>
      <sz val="10"/>
      <color rgb="FF000000"/>
      <name val="Arial"/>
    </font>
    <font>
      <vertAlign val="superscript"/>
      <sz val="8"/>
      <color rgb="FF000000"/>
      <name val="Arial"/>
    </font>
    <font>
      <b/>
      <vertAlign val="superscript"/>
      <sz val="9"/>
      <color rgb="FF000000"/>
      <name val="Arial"/>
    </font>
    <font>
      <b/>
      <vertAlign val="subscript"/>
      <sz val="10"/>
      <color rgb="FF000000"/>
      <name val="Arial"/>
    </font>
    <font>
      <vertAlign val="subscript"/>
      <sz val="10"/>
      <color rgb="FF000000"/>
      <name val="Arial"/>
    </font>
    <font>
      <vertAlign val="subscript"/>
      <sz val="8"/>
      <color rgb="FF000000"/>
      <name val="Arial"/>
    </font>
    <font>
      <vertAlign val="superscript"/>
      <sz val="8"/>
      <color rgb="FFFFFFFF"/>
      <name val="Arial"/>
    </font>
    <font>
      <vertAlign val="superscript"/>
      <sz val="9"/>
      <color rgb="FF000000"/>
      <name val="Arial"/>
    </font>
    <font>
      <sz val="10"/>
      <color rgb="FF000000"/>
      <name val="Arial"/>
      <family val="2"/>
    </font>
    <font>
      <vertAlign val="superscript"/>
      <sz val="10"/>
      <color rgb="FF000000"/>
      <name val="Arial"/>
      <family val="2"/>
    </font>
    <font>
      <sz val="8"/>
      <color rgb="FF000000"/>
      <name val="Arial"/>
      <family val="2"/>
    </font>
    <font>
      <sz val="8"/>
      <color theme="0"/>
      <name val="Arial"/>
      <family val="2"/>
    </font>
    <font>
      <vertAlign val="superscript"/>
      <sz val="8"/>
      <color theme="0"/>
      <name val="Arial"/>
      <family val="2"/>
    </font>
    <font>
      <b/>
      <sz val="10"/>
      <name val="Arial"/>
      <family val="2"/>
    </font>
    <font>
      <sz val="10"/>
      <name val="Arial"/>
      <family val="2"/>
    </font>
    <font>
      <b/>
      <vertAlign val="superscript"/>
      <sz val="10"/>
      <name val="Arial"/>
      <family val="2"/>
    </font>
    <font>
      <b/>
      <sz val="9"/>
      <name val="Arial"/>
      <family val="2"/>
    </font>
    <font>
      <sz val="9"/>
      <name val="Arial"/>
      <family val="2"/>
    </font>
    <font>
      <sz val="8"/>
      <name val="Arial"/>
      <family val="2"/>
    </font>
    <font>
      <b/>
      <sz val="12"/>
      <name val="Arial"/>
      <family val="2"/>
    </font>
    <font>
      <b/>
      <sz val="10"/>
      <color rgb="FF000000"/>
      <name val="Arial"/>
      <family val="2"/>
    </font>
    <font>
      <b/>
      <sz val="11"/>
      <color rgb="FF000000"/>
      <name val="Arial"/>
      <family val="2"/>
    </font>
    <font>
      <b/>
      <sz val="12"/>
      <color rgb="FF000000"/>
      <name val="Arial"/>
      <family val="2"/>
    </font>
    <font>
      <sz val="11"/>
      <color rgb="FF000000"/>
      <name val="Arial"/>
      <family val="2"/>
    </font>
    <font>
      <sz val="12"/>
      <color rgb="FF000000"/>
      <name val="Arial"/>
      <family val="2"/>
    </font>
    <font>
      <sz val="10"/>
      <color theme="0"/>
      <name val="Arial"/>
      <family val="2"/>
    </font>
    <font>
      <vertAlign val="superscript"/>
      <sz val="8"/>
      <color rgb="FF000000"/>
      <name val="Arial"/>
      <family val="2"/>
    </font>
    <font>
      <b/>
      <sz val="14"/>
      <color rgb="FF000000"/>
      <name val="Arial"/>
      <family val="2"/>
    </font>
    <font>
      <b/>
      <sz val="16"/>
      <color rgb="FF000000"/>
      <name val="Arial"/>
      <family val="2"/>
    </font>
    <font>
      <sz val="11"/>
      <name val="Arial"/>
      <family val="2"/>
    </font>
    <font>
      <sz val="12"/>
      <name val="Arial"/>
      <family val="2"/>
    </font>
    <font>
      <b/>
      <vertAlign val="superscript"/>
      <sz val="10"/>
      <color rgb="FF000000"/>
      <name val="Arial"/>
      <family val="2"/>
    </font>
    <font>
      <vertAlign val="superscript"/>
      <sz val="8"/>
      <name val="Arial"/>
      <family val="2"/>
    </font>
    <font>
      <b/>
      <sz val="11"/>
      <name val="Arial"/>
      <family val="2"/>
    </font>
  </fonts>
  <fills count="18">
    <fill>
      <patternFill patternType="none"/>
    </fill>
    <fill>
      <patternFill patternType="gray125"/>
    </fill>
    <fill>
      <patternFill patternType="solid">
        <fgColor rgb="FFB6B6B6"/>
        <bgColor indexed="64"/>
      </patternFill>
    </fill>
    <fill>
      <patternFill patternType="solid">
        <fgColor rgb="FFFFFFFF"/>
        <bgColor indexed="64"/>
      </patternFill>
    </fill>
    <fill>
      <patternFill patternType="solid">
        <fgColor rgb="FFB3B3B3"/>
        <bgColor indexed="64"/>
      </patternFill>
    </fill>
    <fill>
      <patternFill patternType="solid">
        <fgColor rgb="FFCBCBCB"/>
        <bgColor indexed="64"/>
      </patternFill>
    </fill>
    <fill>
      <patternFill patternType="solid">
        <fgColor rgb="FFDBDBDB"/>
        <bgColor indexed="64"/>
      </patternFill>
    </fill>
    <fill>
      <patternFill patternType="solid">
        <fgColor rgb="FFFAAC16"/>
        <bgColor indexed="64"/>
      </patternFill>
    </fill>
    <fill>
      <patternFill patternType="solid">
        <fgColor rgb="FFD9C6F9"/>
        <bgColor indexed="64"/>
      </patternFill>
    </fill>
    <fill>
      <patternFill patternType="solid">
        <fgColor rgb="FFC0CAFB"/>
        <bgColor indexed="64"/>
      </patternFill>
    </fill>
    <fill>
      <patternFill patternType="solid">
        <fgColor rgb="FFBFE4FF"/>
        <bgColor indexed="64"/>
      </patternFill>
    </fill>
    <fill>
      <patternFill patternType="solid">
        <fgColor rgb="FFAADEAD"/>
        <bgColor indexed="64"/>
      </patternFill>
    </fill>
    <fill>
      <patternFill patternType="solid">
        <fgColor rgb="FFFFE64B"/>
        <bgColor indexed="64"/>
      </patternFill>
    </fill>
    <fill>
      <patternFill patternType="solid">
        <fgColor rgb="FFE7E6E6"/>
        <bgColor indexed="64"/>
      </patternFill>
    </fill>
    <fill>
      <patternFill patternType="solid">
        <fgColor rgb="FFD0CECE"/>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rgb="FF000000"/>
      </bottom>
      <diagonal/>
    </border>
    <border>
      <left/>
      <right/>
      <top/>
      <bottom style="thin">
        <color indexed="64"/>
      </bottom>
      <diagonal/>
    </border>
    <border>
      <left/>
      <right/>
      <top style="thin">
        <color rgb="FF000000"/>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749">
    <xf numFmtId="0" fontId="0" fillId="0" borderId="0" xfId="0"/>
    <xf numFmtId="0" fontId="2" fillId="0" borderId="1" xfId="0" applyFont="1" applyBorder="1" applyAlignment="1">
      <alignment vertical="top" wrapText="1"/>
    </xf>
    <xf numFmtId="0" fontId="2" fillId="0" borderId="1" xfId="0" applyFont="1" applyBorder="1" applyAlignment="1">
      <alignment wrapText="1"/>
    </xf>
    <xf numFmtId="0" fontId="3" fillId="2" borderId="2" xfId="0" applyFont="1" applyFill="1" applyBorder="1" applyAlignment="1">
      <alignment wrapText="1"/>
    </xf>
    <xf numFmtId="0" fontId="1" fillId="3" borderId="2" xfId="0" applyFont="1" applyFill="1" applyBorder="1" applyAlignment="1">
      <alignment horizontal="left" wrapText="1"/>
    </xf>
    <xf numFmtId="0" fontId="1" fillId="3" borderId="2" xfId="0" applyFont="1" applyFill="1" applyBorder="1" applyAlignment="1">
      <alignment wrapText="1"/>
    </xf>
    <xf numFmtId="0" fontId="1" fillId="0" borderId="2" xfId="0" applyFont="1" applyBorder="1" applyAlignment="1">
      <alignment wrapText="1"/>
    </xf>
    <xf numFmtId="0" fontId="4" fillId="0" borderId="0" xfId="0" applyFont="1" applyAlignment="1">
      <alignment wrapText="1"/>
    </xf>
    <xf numFmtId="0" fontId="2" fillId="3" borderId="2" xfId="0" applyFont="1" applyFill="1" applyBorder="1" applyAlignment="1">
      <alignment horizontal="left" wrapText="1"/>
    </xf>
    <xf numFmtId="164" fontId="2" fillId="3" borderId="2" xfId="0" applyNumberFormat="1" applyFont="1" applyFill="1" applyBorder="1" applyAlignment="1">
      <alignment wrapText="1"/>
    </xf>
    <xf numFmtId="0" fontId="2" fillId="3" borderId="2" xfId="0" applyFont="1" applyFill="1" applyBorder="1" applyAlignment="1">
      <alignment wrapText="1"/>
    </xf>
    <xf numFmtId="0" fontId="2" fillId="3" borderId="3" xfId="0" applyFont="1" applyFill="1" applyBorder="1" applyAlignment="1">
      <alignment wrapText="1"/>
    </xf>
    <xf numFmtId="0" fontId="2" fillId="0" borderId="2" xfId="0" applyFont="1" applyBorder="1" applyAlignment="1">
      <alignment wrapText="1"/>
    </xf>
    <xf numFmtId="165" fontId="2" fillId="3" borderId="2" xfId="0" applyNumberFormat="1" applyFont="1" applyFill="1" applyBorder="1" applyAlignment="1">
      <alignment wrapText="1"/>
    </xf>
    <xf numFmtId="0" fontId="2" fillId="3" borderId="4" xfId="0" applyFont="1" applyFill="1" applyBorder="1" applyAlignment="1">
      <alignment horizontal="left" wrapText="1"/>
    </xf>
    <xf numFmtId="0" fontId="6" fillId="3" borderId="6" xfId="0" applyFont="1" applyFill="1" applyBorder="1" applyAlignment="1">
      <alignment horizontal="left" vertical="top" wrapText="1"/>
    </xf>
    <xf numFmtId="0" fontId="2" fillId="3" borderId="7" xfId="0" applyFont="1" applyFill="1" applyBorder="1" applyAlignment="1">
      <alignment wrapText="1"/>
    </xf>
    <xf numFmtId="0" fontId="2" fillId="3" borderId="8" xfId="0" applyFont="1" applyFill="1" applyBorder="1" applyAlignment="1">
      <alignment horizontal="left" wrapText="1"/>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166" fontId="1" fillId="3" borderId="2" xfId="0" applyNumberFormat="1" applyFont="1" applyFill="1" applyBorder="1" applyAlignment="1">
      <alignment wrapText="1"/>
    </xf>
    <xf numFmtId="0" fontId="6" fillId="3" borderId="6" xfId="0" applyFont="1" applyFill="1" applyBorder="1" applyAlignment="1">
      <alignment vertical="top" wrapText="1"/>
    </xf>
    <xf numFmtId="165" fontId="2" fillId="0" borderId="2" xfId="0" applyNumberFormat="1" applyFont="1" applyBorder="1" applyAlignment="1">
      <alignment wrapText="1"/>
    </xf>
    <xf numFmtId="0" fontId="2" fillId="3" borderId="0" xfId="0" applyFont="1" applyFill="1" applyAlignment="1">
      <alignment wrapText="1"/>
    </xf>
    <xf numFmtId="0" fontId="2" fillId="3" borderId="1" xfId="0" applyFont="1" applyFill="1" applyBorder="1" applyAlignment="1">
      <alignment wrapText="1"/>
    </xf>
    <xf numFmtId="0" fontId="5" fillId="3" borderId="1" xfId="0" applyFont="1" applyFill="1" applyBorder="1" applyAlignment="1">
      <alignment wrapText="1"/>
    </xf>
    <xf numFmtId="0" fontId="4" fillId="0" borderId="5" xfId="0" applyFont="1" applyBorder="1" applyAlignment="1">
      <alignment wrapText="1"/>
    </xf>
    <xf numFmtId="0" fontId="5" fillId="3" borderId="3" xfId="0" applyFont="1" applyFill="1" applyBorder="1" applyAlignment="1">
      <alignment horizontal="left" vertical="center" wrapText="1"/>
    </xf>
    <xf numFmtId="0" fontId="6" fillId="3" borderId="9" xfId="0" applyFont="1" applyFill="1" applyBorder="1" applyAlignment="1">
      <alignment vertical="top" wrapText="1"/>
    </xf>
    <xf numFmtId="0" fontId="2" fillId="3" borderId="6" xfId="0" applyFont="1" applyFill="1" applyBorder="1" applyAlignment="1">
      <alignment wrapText="1"/>
    </xf>
    <xf numFmtId="0" fontId="6" fillId="3" borderId="0" xfId="0" applyFont="1" applyFill="1" applyAlignment="1">
      <alignment vertical="top" wrapText="1"/>
    </xf>
    <xf numFmtId="0" fontId="2" fillId="3" borderId="0" xfId="0" applyFont="1" applyFill="1" applyAlignment="1">
      <alignment horizontal="left" vertical="center" wrapText="1"/>
    </xf>
    <xf numFmtId="0" fontId="7" fillId="3" borderId="0" xfId="0" applyFont="1" applyFill="1" applyAlignment="1">
      <alignment vertical="top" wrapText="1"/>
    </xf>
    <xf numFmtId="0" fontId="2" fillId="3" borderId="0" xfId="0" applyFont="1" applyFill="1" applyAlignment="1">
      <alignment vertical="top" wrapText="1"/>
    </xf>
    <xf numFmtId="0" fontId="2" fillId="3" borderId="0" xfId="0" applyFont="1" applyFill="1" applyAlignment="1">
      <alignment vertical="center" wrapText="1"/>
    </xf>
    <xf numFmtId="0" fontId="8" fillId="3" borderId="0" xfId="0" applyFont="1" applyFill="1" applyAlignment="1">
      <alignment vertical="center" wrapText="1"/>
    </xf>
    <xf numFmtId="0" fontId="1" fillId="5" borderId="2" xfId="0" applyFont="1" applyFill="1" applyBorder="1" applyAlignment="1">
      <alignment wrapText="1"/>
    </xf>
    <xf numFmtId="165" fontId="1" fillId="3" borderId="2" xfId="0" applyNumberFormat="1" applyFont="1" applyFill="1" applyBorder="1" applyAlignment="1">
      <alignment horizontal="left" wrapText="1"/>
    </xf>
    <xf numFmtId="0" fontId="3" fillId="5" borderId="2" xfId="0" applyFont="1" applyFill="1" applyBorder="1" applyAlignment="1">
      <alignment wrapText="1"/>
    </xf>
    <xf numFmtId="0" fontId="1" fillId="5" borderId="2" xfId="0" applyFont="1" applyFill="1" applyBorder="1" applyAlignment="1">
      <alignment horizontal="left" wrapText="1"/>
    </xf>
    <xf numFmtId="0" fontId="2" fillId="3" borderId="2" xfId="0" applyFont="1" applyFill="1" applyBorder="1" applyAlignment="1">
      <alignment vertical="center" wrapText="1"/>
    </xf>
    <xf numFmtId="165" fontId="2" fillId="3" borderId="2" xfId="0" applyNumberFormat="1" applyFont="1" applyFill="1" applyBorder="1" applyAlignment="1">
      <alignment horizontal="right" vertical="center" wrapText="1"/>
    </xf>
    <xf numFmtId="0" fontId="1" fillId="3" borderId="2" xfId="0" applyFont="1" applyFill="1" applyBorder="1" applyAlignment="1">
      <alignment horizontal="left" vertical="center" wrapText="1"/>
    </xf>
    <xf numFmtId="165" fontId="1" fillId="3" borderId="2" xfId="0" applyNumberFormat="1" applyFont="1" applyFill="1" applyBorder="1" applyAlignment="1">
      <alignment horizontal="right" vertical="center" wrapText="1"/>
    </xf>
    <xf numFmtId="167" fontId="1" fillId="3" borderId="2" xfId="0" applyNumberFormat="1" applyFont="1" applyFill="1" applyBorder="1" applyAlignment="1">
      <alignment horizontal="right" vertical="center" wrapText="1"/>
    </xf>
    <xf numFmtId="0" fontId="9" fillId="3" borderId="2" xfId="0" applyFont="1" applyFill="1" applyBorder="1" applyAlignment="1">
      <alignment horizontal="left" wrapText="1"/>
    </xf>
    <xf numFmtId="0" fontId="2" fillId="3" borderId="2" xfId="0" applyFont="1" applyFill="1" applyBorder="1" applyAlignment="1">
      <alignment horizontal="left" vertical="center" wrapText="1"/>
    </xf>
    <xf numFmtId="0" fontId="6" fillId="3" borderId="0" xfId="0" applyFont="1" applyFill="1" applyAlignment="1">
      <alignment horizontal="left" vertical="top" wrapText="1"/>
    </xf>
    <xf numFmtId="0" fontId="2" fillId="3" borderId="2" xfId="0" applyFont="1" applyFill="1" applyBorder="1" applyAlignment="1">
      <alignment horizontal="right" vertical="center" wrapText="1"/>
    </xf>
    <xf numFmtId="0" fontId="1" fillId="3" borderId="2" xfId="0" applyFont="1" applyFill="1" applyBorder="1" applyAlignment="1">
      <alignment horizontal="left" vertical="center" wrapText="1" indent="2"/>
    </xf>
    <xf numFmtId="0" fontId="1" fillId="3" borderId="2" xfId="0" applyFont="1" applyFill="1" applyBorder="1" applyAlignment="1">
      <alignment horizontal="right" vertical="center" wrapText="1"/>
    </xf>
    <xf numFmtId="0" fontId="2" fillId="3" borderId="2" xfId="0" applyFont="1" applyFill="1" applyBorder="1" applyAlignment="1">
      <alignment horizontal="left" vertical="center" wrapText="1" indent="5"/>
    </xf>
    <xf numFmtId="0" fontId="2" fillId="3" borderId="2" xfId="0" applyFont="1" applyFill="1" applyBorder="1" applyAlignment="1">
      <alignment horizontal="center" vertical="center" wrapText="1"/>
    </xf>
    <xf numFmtId="167" fontId="2" fillId="3" borderId="2" xfId="0" applyNumberFormat="1" applyFont="1" applyFill="1" applyBorder="1" applyAlignment="1">
      <alignment horizontal="right" vertical="center" wrapText="1"/>
    </xf>
    <xf numFmtId="0" fontId="1" fillId="3" borderId="2" xfId="0" applyFont="1" applyFill="1" applyBorder="1" applyAlignment="1">
      <alignment vertical="center" wrapText="1"/>
    </xf>
    <xf numFmtId="0" fontId="4" fillId="0" borderId="3" xfId="0" applyFont="1" applyBorder="1" applyAlignment="1">
      <alignment wrapText="1"/>
    </xf>
    <xf numFmtId="0" fontId="2" fillId="3" borderId="3" xfId="0" applyFont="1" applyFill="1" applyBorder="1" applyAlignment="1">
      <alignment horizontal="center" wrapText="1"/>
    </xf>
    <xf numFmtId="0" fontId="2" fillId="3" borderId="5" xfId="0" applyFont="1" applyFill="1" applyBorder="1" applyAlignment="1">
      <alignment wrapText="1"/>
    </xf>
    <xf numFmtId="0" fontId="2" fillId="3" borderId="0" xfId="0" applyFont="1" applyFill="1" applyAlignment="1">
      <alignment horizontal="center" wrapText="1"/>
    </xf>
    <xf numFmtId="0" fontId="10" fillId="3" borderId="3" xfId="0" applyFont="1" applyFill="1" applyBorder="1" applyAlignment="1">
      <alignment wrapText="1"/>
    </xf>
    <xf numFmtId="0" fontId="1" fillId="3" borderId="3" xfId="0" applyFont="1" applyFill="1" applyBorder="1" applyAlignment="1">
      <alignment horizontal="left" wrapText="1"/>
    </xf>
    <xf numFmtId="0" fontId="1" fillId="3" borderId="0" xfId="0" applyFont="1" applyFill="1" applyAlignment="1">
      <alignment horizontal="left" wrapText="1"/>
    </xf>
    <xf numFmtId="0" fontId="1" fillId="3" borderId="7" xfId="0" applyFont="1" applyFill="1" applyBorder="1" applyAlignment="1">
      <alignment horizontal="left" wrapText="1"/>
    </xf>
    <xf numFmtId="0" fontId="2" fillId="3" borderId="3" xfId="0" applyFont="1" applyFill="1" applyBorder="1" applyAlignment="1">
      <alignment horizontal="right" vertical="center" wrapText="1"/>
    </xf>
    <xf numFmtId="0" fontId="2" fillId="3" borderId="0" xfId="0" applyFont="1" applyFill="1" applyAlignment="1">
      <alignment horizontal="right" vertical="center" wrapText="1"/>
    </xf>
    <xf numFmtId="0" fontId="2" fillId="3" borderId="5" xfId="0" applyFont="1" applyFill="1" applyBorder="1" applyAlignment="1">
      <alignment horizontal="right" vertical="center" wrapText="1"/>
    </xf>
    <xf numFmtId="0" fontId="1" fillId="3" borderId="0" xfId="0" applyFont="1" applyFill="1" applyAlignment="1">
      <alignment horizontal="right" vertical="center" wrapText="1"/>
    </xf>
    <xf numFmtId="0" fontId="1" fillId="3" borderId="5" xfId="0" applyFont="1" applyFill="1" applyBorder="1" applyAlignment="1">
      <alignment horizontal="right" vertical="center" wrapText="1"/>
    </xf>
    <xf numFmtId="0" fontId="6" fillId="3" borderId="5" xfId="0" applyFont="1" applyFill="1" applyBorder="1" applyAlignment="1">
      <alignment horizontal="left" vertical="top" wrapText="1"/>
    </xf>
    <xf numFmtId="0" fontId="10" fillId="3" borderId="0" xfId="0" applyFont="1" applyFill="1" applyAlignment="1">
      <alignment wrapText="1"/>
    </xf>
    <xf numFmtId="0" fontId="10" fillId="3" borderId="0" xfId="0" applyFont="1" applyFill="1" applyAlignment="1">
      <alignment vertical="center" wrapText="1"/>
    </xf>
    <xf numFmtId="0" fontId="2" fillId="3" borderId="0" xfId="0" applyFont="1" applyFill="1" applyAlignment="1">
      <alignment horizontal="center" vertical="center" wrapText="1"/>
    </xf>
    <xf numFmtId="0" fontId="11" fillId="3" borderId="0" xfId="0" applyFont="1" applyFill="1" applyAlignment="1">
      <alignment horizontal="left" vertical="top" wrapText="1"/>
    </xf>
    <xf numFmtId="0" fontId="4" fillId="0" borderId="0" xfId="0" applyFont="1" applyAlignment="1">
      <alignment wrapText="1"/>
    </xf>
    <xf numFmtId="0" fontId="10" fillId="0" borderId="0" xfId="0" applyFont="1" applyAlignment="1">
      <alignment wrapText="1"/>
    </xf>
    <xf numFmtId="0" fontId="3" fillId="0" borderId="2" xfId="0" applyFont="1" applyBorder="1" applyAlignment="1">
      <alignment wrapText="1"/>
    </xf>
    <xf numFmtId="165" fontId="3" fillId="0" borderId="2" xfId="0" applyNumberFormat="1" applyFont="1" applyBorder="1" applyAlignment="1">
      <alignment wrapText="1"/>
    </xf>
    <xf numFmtId="166" fontId="2" fillId="3" borderId="2" xfId="0" applyNumberFormat="1" applyFont="1" applyFill="1" applyBorder="1" applyAlignment="1">
      <alignment vertical="center" wrapText="1"/>
    </xf>
    <xf numFmtId="166" fontId="2" fillId="3" borderId="2" xfId="0" applyNumberFormat="1" applyFont="1" applyFill="1" applyBorder="1" applyAlignment="1">
      <alignment wrapText="1"/>
    </xf>
    <xf numFmtId="168" fontId="2" fillId="3" borderId="2" xfId="0" applyNumberFormat="1" applyFont="1" applyFill="1" applyBorder="1" applyAlignment="1">
      <alignment wrapText="1"/>
    </xf>
    <xf numFmtId="165" fontId="2" fillId="3" borderId="2" xfId="0" applyNumberFormat="1" applyFont="1" applyFill="1" applyBorder="1" applyAlignment="1">
      <alignment horizontal="left" vertical="center" wrapText="1"/>
    </xf>
    <xf numFmtId="0" fontId="4" fillId="0" borderId="6" xfId="0" applyFont="1" applyBorder="1" applyAlignment="1">
      <alignment wrapText="1"/>
    </xf>
    <xf numFmtId="0" fontId="4" fillId="0" borderId="2" xfId="0" applyFont="1" applyBorder="1" applyAlignment="1">
      <alignment wrapText="1"/>
    </xf>
    <xf numFmtId="166" fontId="4" fillId="0" borderId="2" xfId="0" applyNumberFormat="1" applyFont="1" applyBorder="1" applyAlignment="1">
      <alignment wrapText="1"/>
    </xf>
    <xf numFmtId="166" fontId="1" fillId="3" borderId="2" xfId="0" applyNumberFormat="1" applyFont="1" applyFill="1" applyBorder="1" applyAlignment="1">
      <alignment vertical="top" wrapText="1"/>
    </xf>
    <xf numFmtId="0" fontId="4" fillId="0" borderId="7"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166" fontId="1" fillId="3" borderId="2" xfId="0" applyNumberFormat="1" applyFont="1" applyFill="1" applyBorder="1" applyAlignment="1">
      <alignment vertical="center" wrapText="1"/>
    </xf>
    <xf numFmtId="0" fontId="1" fillId="3" borderId="1" xfId="0" applyFont="1" applyFill="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1" fillId="5" borderId="2" xfId="0" applyFont="1" applyFill="1" applyBorder="1" applyAlignment="1">
      <alignment horizontal="left" vertical="center" wrapText="1" indent="1"/>
    </xf>
    <xf numFmtId="170" fontId="1" fillId="5" borderId="2" xfId="0" applyNumberFormat="1" applyFont="1" applyFill="1" applyBorder="1" applyAlignment="1">
      <alignment horizontal="right" vertical="center" wrapText="1"/>
    </xf>
    <xf numFmtId="0" fontId="1" fillId="5" borderId="2" xfId="0" applyFont="1" applyFill="1" applyBorder="1" applyAlignment="1">
      <alignment horizontal="right" vertical="center" wrapText="1"/>
    </xf>
    <xf numFmtId="171" fontId="2" fillId="3" borderId="2" xfId="0" applyNumberFormat="1" applyFont="1" applyFill="1" applyBorder="1" applyAlignment="1">
      <alignment horizontal="right" vertical="center" wrapText="1"/>
    </xf>
    <xf numFmtId="172" fontId="2" fillId="3" borderId="2" xfId="0" applyNumberFormat="1" applyFont="1" applyFill="1" applyBorder="1" applyAlignment="1">
      <alignment horizontal="right" vertical="center" wrapText="1"/>
    </xf>
    <xf numFmtId="0" fontId="2" fillId="3" borderId="2" xfId="0" applyFont="1" applyFill="1" applyBorder="1" applyAlignment="1">
      <alignment horizontal="left" vertical="center" wrapText="1" indent="2"/>
    </xf>
    <xf numFmtId="170" fontId="2" fillId="3" borderId="2" xfId="0" applyNumberFormat="1" applyFont="1" applyFill="1" applyBorder="1" applyAlignment="1">
      <alignment horizontal="right" vertical="center" wrapText="1"/>
    </xf>
    <xf numFmtId="171" fontId="2" fillId="3" borderId="4" xfId="0" applyNumberFormat="1" applyFont="1" applyFill="1" applyBorder="1" applyAlignment="1">
      <alignment horizontal="right" vertical="center" wrapText="1"/>
    </xf>
    <xf numFmtId="171" fontId="2" fillId="3" borderId="8" xfId="0" applyNumberFormat="1" applyFont="1" applyFill="1" applyBorder="1" applyAlignment="1">
      <alignment horizontal="right" vertical="center" wrapText="1"/>
    </xf>
    <xf numFmtId="0" fontId="2" fillId="0" borderId="2" xfId="0" applyFont="1" applyBorder="1" applyAlignment="1">
      <alignment horizontal="left" vertical="center" wrapText="1" indent="2"/>
    </xf>
    <xf numFmtId="170" fontId="2" fillId="3" borderId="2" xfId="0" applyNumberFormat="1" applyFont="1" applyFill="1" applyBorder="1" applyAlignment="1">
      <alignment horizontal="right" vertical="center" wrapText="1" indent="1"/>
    </xf>
    <xf numFmtId="0" fontId="1" fillId="5"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0" xfId="0" applyFont="1" applyFill="1" applyAlignment="1">
      <alignment horizontal="left" vertical="center" wrapText="1"/>
    </xf>
    <xf numFmtId="0" fontId="7" fillId="3" borderId="0" xfId="0" applyFont="1" applyFill="1" applyAlignment="1">
      <alignment horizontal="left" vertical="center" wrapText="1"/>
    </xf>
    <xf numFmtId="0" fontId="1" fillId="0" borderId="2" xfId="0" applyFont="1" applyBorder="1" applyAlignment="1">
      <alignment horizontal="left" wrapText="1"/>
    </xf>
    <xf numFmtId="167" fontId="1" fillId="5" borderId="2" xfId="0" applyNumberFormat="1" applyFont="1" applyFill="1" applyBorder="1" applyAlignment="1">
      <alignment horizontal="right" vertical="center" wrapText="1"/>
    </xf>
    <xf numFmtId="165" fontId="1" fillId="3" borderId="2" xfId="0" applyNumberFormat="1" applyFont="1" applyFill="1" applyBorder="1" applyAlignment="1">
      <alignment vertical="center" wrapText="1"/>
    </xf>
    <xf numFmtId="167" fontId="1" fillId="3" borderId="2" xfId="0" applyNumberFormat="1" applyFont="1" applyFill="1" applyBorder="1" applyAlignment="1">
      <alignment vertical="center" wrapText="1"/>
    </xf>
    <xf numFmtId="167" fontId="1" fillId="0" borderId="2" xfId="0" applyNumberFormat="1" applyFont="1" applyBorder="1" applyAlignment="1">
      <alignment vertical="center" wrapText="1"/>
    </xf>
    <xf numFmtId="165" fontId="1" fillId="5" borderId="2" xfId="0" applyNumberFormat="1" applyFont="1" applyFill="1" applyBorder="1" applyAlignment="1">
      <alignment horizontal="right" vertical="center" wrapText="1"/>
    </xf>
    <xf numFmtId="165" fontId="2" fillId="3" borderId="2" xfId="0" applyNumberFormat="1" applyFont="1" applyFill="1" applyBorder="1" applyAlignment="1">
      <alignment vertical="center" wrapText="1"/>
    </xf>
    <xf numFmtId="167" fontId="2" fillId="3" borderId="2" xfId="0" applyNumberFormat="1" applyFont="1" applyFill="1" applyBorder="1" applyAlignment="1">
      <alignment vertical="center" wrapText="1"/>
    </xf>
    <xf numFmtId="167" fontId="2" fillId="0" borderId="2" xfId="0" applyNumberFormat="1" applyFont="1" applyBorder="1" applyAlignment="1">
      <alignment vertical="center" wrapText="1"/>
    </xf>
    <xf numFmtId="0" fontId="4" fillId="3" borderId="2" xfId="0" applyFont="1" applyFill="1" applyBorder="1" applyAlignment="1">
      <alignment vertical="center" wrapText="1" indent="3"/>
    </xf>
    <xf numFmtId="0" fontId="2" fillId="3" borderId="2" xfId="0" applyFont="1" applyFill="1" applyBorder="1" applyAlignment="1">
      <alignment horizontal="left" vertical="center" wrapText="1" indent="3"/>
    </xf>
    <xf numFmtId="0" fontId="4" fillId="3" borderId="2" xfId="0" applyFont="1" applyFill="1" applyBorder="1" applyAlignment="1">
      <alignment horizontal="right" vertical="center" wrapText="1"/>
    </xf>
    <xf numFmtId="0" fontId="1" fillId="5" borderId="2" xfId="0" applyFont="1" applyFill="1" applyBorder="1" applyAlignment="1">
      <alignment vertical="center" wrapText="1"/>
    </xf>
    <xf numFmtId="173" fontId="1" fillId="5" borderId="2" xfId="0" applyNumberFormat="1" applyFont="1" applyFill="1" applyBorder="1" applyAlignment="1">
      <alignment horizontal="right" vertical="center" wrapText="1"/>
    </xf>
    <xf numFmtId="0" fontId="4" fillId="0" borderId="0" xfId="0" applyFont="1" applyAlignment="1">
      <alignment vertical="top" wrapText="1"/>
    </xf>
    <xf numFmtId="0" fontId="7" fillId="3" borderId="0" xfId="0" applyFont="1" applyFill="1" applyAlignment="1">
      <alignment vertical="center" wrapText="1"/>
    </xf>
    <xf numFmtId="0" fontId="2" fillId="0" borderId="0" xfId="0" applyFont="1" applyAlignment="1">
      <alignment horizontal="left" wrapText="1"/>
    </xf>
    <xf numFmtId="0" fontId="16" fillId="3" borderId="0" xfId="0" applyFont="1" applyFill="1" applyAlignment="1">
      <alignment horizontal="left" vertical="center" wrapText="1" indent="2"/>
    </xf>
    <xf numFmtId="0" fontId="17" fillId="0" borderId="0" xfId="0" applyFont="1" applyAlignment="1">
      <alignment wrapText="1"/>
    </xf>
    <xf numFmtId="0" fontId="18" fillId="0" borderId="1" xfId="0" applyFont="1" applyBorder="1" applyAlignment="1">
      <alignment horizontal="center" wrapText="1"/>
    </xf>
    <xf numFmtId="0" fontId="19" fillId="3" borderId="1" xfId="0" applyFont="1" applyFill="1" applyBorder="1" applyAlignment="1">
      <alignment horizontal="left" vertical="center" wrapText="1" indent="2"/>
    </xf>
    <xf numFmtId="0" fontId="20" fillId="3" borderId="0" xfId="0" applyFont="1" applyFill="1" applyAlignment="1">
      <alignment wrapText="1"/>
    </xf>
    <xf numFmtId="0" fontId="20" fillId="3" borderId="1" xfId="0" applyFont="1" applyFill="1" applyBorder="1" applyAlignment="1">
      <alignment wrapText="1"/>
    </xf>
    <xf numFmtId="0" fontId="1" fillId="0" borderId="1" xfId="0" applyFont="1" applyBorder="1" applyAlignment="1">
      <alignment wrapText="1"/>
    </xf>
    <xf numFmtId="171" fontId="1" fillId="0" borderId="2" xfId="0" applyNumberFormat="1" applyFont="1" applyBorder="1" applyAlignment="1">
      <alignment horizontal="left" wrapText="1"/>
    </xf>
    <xf numFmtId="0" fontId="3" fillId="5" borderId="2" xfId="0" applyFont="1" applyFill="1" applyBorder="1" applyAlignment="1">
      <alignment vertical="center" wrapText="1"/>
    </xf>
    <xf numFmtId="165" fontId="1" fillId="0" borderId="2" xfId="0" applyNumberFormat="1" applyFont="1" applyBorder="1" applyAlignment="1">
      <alignment horizontal="left" wrapText="1"/>
    </xf>
    <xf numFmtId="171" fontId="1" fillId="3" borderId="2" xfId="0" applyNumberFormat="1" applyFont="1" applyFill="1" applyBorder="1" applyAlignment="1">
      <alignment horizontal="left" wrapText="1"/>
    </xf>
    <xf numFmtId="174" fontId="1" fillId="3" borderId="2" xfId="0" applyNumberFormat="1" applyFont="1" applyFill="1" applyBorder="1" applyAlignment="1">
      <alignment horizontal="left" wrapText="1"/>
    </xf>
    <xf numFmtId="175" fontId="1" fillId="5" borderId="2" xfId="0" applyNumberFormat="1" applyFont="1" applyFill="1" applyBorder="1" applyAlignment="1">
      <alignment horizontal="right" vertical="center" wrapText="1" indent="1"/>
    </xf>
    <xf numFmtId="176" fontId="1" fillId="5" borderId="2" xfId="0" applyNumberFormat="1" applyFont="1" applyFill="1" applyBorder="1" applyAlignment="1">
      <alignment vertical="center" wrapText="1"/>
    </xf>
    <xf numFmtId="178" fontId="2" fillId="0" borderId="2" xfId="0" applyNumberFormat="1" applyFont="1" applyBorder="1" applyAlignment="1">
      <alignment vertical="center" wrapText="1" indent="1"/>
    </xf>
    <xf numFmtId="0" fontId="2" fillId="0" borderId="2" xfId="0" applyFont="1" applyBorder="1" applyAlignment="1">
      <alignment horizontal="right" vertical="center" wrapText="1" indent="1"/>
    </xf>
    <xf numFmtId="179" fontId="2" fillId="0" borderId="2" xfId="0" applyNumberFormat="1" applyFont="1" applyBorder="1" applyAlignment="1">
      <alignment vertical="center" wrapText="1" indent="1"/>
    </xf>
    <xf numFmtId="180" fontId="2" fillId="3" borderId="2" xfId="0" applyNumberFormat="1" applyFont="1" applyFill="1" applyBorder="1" applyAlignment="1">
      <alignment wrapText="1"/>
    </xf>
    <xf numFmtId="181" fontId="2" fillId="3" borderId="2" xfId="0" applyNumberFormat="1" applyFont="1" applyFill="1" applyBorder="1" applyAlignment="1">
      <alignment horizontal="right" wrapText="1"/>
    </xf>
    <xf numFmtId="182" fontId="2" fillId="3" borderId="2" xfId="0" applyNumberFormat="1" applyFont="1" applyFill="1" applyBorder="1" applyAlignment="1">
      <alignment horizontal="right" wrapText="1"/>
    </xf>
    <xf numFmtId="183" fontId="1" fillId="5" borderId="2" xfId="0" applyNumberFormat="1" applyFont="1" applyFill="1" applyBorder="1" applyAlignment="1">
      <alignment horizontal="right" vertical="center" wrapText="1" indent="1"/>
    </xf>
    <xf numFmtId="184" fontId="4" fillId="0" borderId="2" xfId="0" applyNumberFormat="1" applyFont="1" applyBorder="1" applyAlignment="1">
      <alignment wrapText="1"/>
    </xf>
    <xf numFmtId="175" fontId="2" fillId="3" borderId="2" xfId="0" applyNumberFormat="1" applyFont="1" applyFill="1" applyBorder="1" applyAlignment="1">
      <alignment horizontal="right" vertical="center" wrapText="1" indent="1"/>
    </xf>
    <xf numFmtId="175" fontId="2" fillId="3" borderId="2" xfId="0" applyNumberFormat="1" applyFont="1" applyFill="1" applyBorder="1" applyAlignment="1">
      <alignment horizontal="right" vertical="center" wrapText="1"/>
    </xf>
    <xf numFmtId="176" fontId="2" fillId="3" borderId="2" xfId="0" applyNumberFormat="1" applyFont="1" applyFill="1" applyBorder="1" applyAlignment="1">
      <alignment vertical="center" wrapText="1"/>
    </xf>
    <xf numFmtId="0" fontId="2" fillId="3" borderId="2" xfId="0" applyFont="1" applyFill="1" applyBorder="1" applyAlignment="1">
      <alignment horizontal="left" vertical="center" wrapText="1" indent="1"/>
    </xf>
    <xf numFmtId="170" fontId="2" fillId="0" borderId="2" xfId="0" applyNumberFormat="1" applyFont="1" applyBorder="1" applyAlignment="1">
      <alignment horizontal="right" vertical="center" wrapText="1"/>
    </xf>
    <xf numFmtId="0" fontId="1" fillId="3" borderId="3" xfId="0" applyFont="1" applyFill="1" applyBorder="1" applyAlignment="1">
      <alignment vertical="center" wrapText="1"/>
    </xf>
    <xf numFmtId="177" fontId="2" fillId="3" borderId="2" xfId="0" applyNumberFormat="1" applyFont="1" applyFill="1" applyBorder="1" applyAlignment="1">
      <alignment horizontal="right" vertical="center" wrapText="1" indent="1"/>
    </xf>
    <xf numFmtId="178" fontId="2" fillId="3" borderId="2" xfId="0" applyNumberFormat="1" applyFont="1" applyFill="1" applyBorder="1" applyAlignment="1">
      <alignment vertical="center" wrapText="1" indent="1"/>
    </xf>
    <xf numFmtId="178" fontId="2" fillId="0" borderId="2" xfId="0" applyNumberFormat="1" applyFont="1" applyBorder="1" applyAlignment="1">
      <alignment vertical="center" wrapText="1"/>
    </xf>
    <xf numFmtId="179" fontId="2" fillId="0" borderId="2" xfId="0" applyNumberFormat="1" applyFont="1" applyBorder="1" applyAlignment="1">
      <alignment vertical="center" wrapText="1"/>
    </xf>
    <xf numFmtId="183" fontId="2" fillId="3" borderId="2" xfId="0" applyNumberFormat="1" applyFont="1" applyFill="1" applyBorder="1" applyAlignment="1">
      <alignment horizontal="right" vertical="center" wrapText="1" indent="1"/>
    </xf>
    <xf numFmtId="184" fontId="2" fillId="0" borderId="2" xfId="0" applyNumberFormat="1" applyFont="1" applyBorder="1" applyAlignment="1">
      <alignment wrapText="1"/>
    </xf>
    <xf numFmtId="0" fontId="2" fillId="0" borderId="2" xfId="0" applyFont="1" applyBorder="1" applyAlignment="1">
      <alignment horizontal="right" vertical="center" wrapText="1"/>
    </xf>
    <xf numFmtId="0" fontId="2" fillId="0" borderId="2" xfId="0" applyFont="1" applyBorder="1" applyAlignment="1">
      <alignment horizontal="left" vertical="center" wrapText="1"/>
    </xf>
    <xf numFmtId="176" fontId="2" fillId="3" borderId="2" xfId="0" applyNumberFormat="1" applyFont="1" applyFill="1" applyBorder="1" applyAlignment="1">
      <alignment vertical="center" wrapText="1" indent="1"/>
    </xf>
    <xf numFmtId="186" fontId="2" fillId="3" borderId="2" xfId="0" applyNumberFormat="1" applyFont="1" applyFill="1" applyBorder="1" applyAlignment="1">
      <alignment horizontal="right" vertical="center" wrapText="1"/>
    </xf>
    <xf numFmtId="0" fontId="2" fillId="0" borderId="7" xfId="0" applyFont="1" applyBorder="1" applyAlignment="1">
      <alignment horizontal="right" vertical="center" wrapText="1" indent="1"/>
    </xf>
    <xf numFmtId="170" fontId="2" fillId="5" borderId="2" xfId="0" applyNumberFormat="1" applyFont="1" applyFill="1" applyBorder="1" applyAlignment="1">
      <alignment horizontal="right" vertical="center" wrapText="1"/>
    </xf>
    <xf numFmtId="170" fontId="2" fillId="0" borderId="2" xfId="0" applyNumberFormat="1" applyFont="1" applyBorder="1" applyAlignment="1">
      <alignment horizontal="right" wrapText="1"/>
    </xf>
    <xf numFmtId="176" fontId="1" fillId="5" borderId="2" xfId="0" applyNumberFormat="1" applyFont="1" applyFill="1" applyBorder="1" applyAlignment="1">
      <alignment vertical="center" wrapText="1" indent="1"/>
    </xf>
    <xf numFmtId="186" fontId="1" fillId="5" borderId="2" xfId="0" applyNumberFormat="1" applyFont="1" applyFill="1" applyBorder="1" applyAlignment="1">
      <alignment horizontal="right" vertical="center" wrapText="1"/>
    </xf>
    <xf numFmtId="0" fontId="2" fillId="3" borderId="10" xfId="0" applyFont="1" applyFill="1" applyBorder="1" applyAlignment="1">
      <alignment horizontal="left" vertical="center" wrapText="1" indent="2"/>
    </xf>
    <xf numFmtId="178" fontId="2" fillId="3" borderId="12" xfId="0" applyNumberFormat="1" applyFont="1" applyFill="1" applyBorder="1" applyAlignment="1">
      <alignment vertical="center" wrapText="1" indent="1"/>
    </xf>
    <xf numFmtId="0" fontId="1" fillId="0" borderId="2" xfId="0" applyFont="1" applyBorder="1" applyAlignment="1">
      <alignment vertical="center" wrapText="1"/>
    </xf>
    <xf numFmtId="178" fontId="1" fillId="0" borderId="2" xfId="0" applyNumberFormat="1" applyFont="1" applyBorder="1" applyAlignment="1">
      <alignment vertical="center" wrapText="1" indent="1"/>
    </xf>
    <xf numFmtId="178" fontId="1" fillId="0" borderId="2" xfId="0" applyNumberFormat="1" applyFont="1" applyBorder="1" applyAlignment="1">
      <alignment vertical="center" wrapText="1"/>
    </xf>
    <xf numFmtId="178" fontId="3" fillId="0" borderId="2" xfId="0" applyNumberFormat="1" applyFont="1" applyBorder="1" applyAlignment="1">
      <alignment vertical="center" wrapText="1"/>
    </xf>
    <xf numFmtId="0" fontId="12" fillId="3" borderId="2" xfId="0" applyFont="1" applyFill="1" applyBorder="1" applyAlignment="1">
      <alignment horizontal="left" vertical="center" wrapText="1"/>
    </xf>
    <xf numFmtId="179" fontId="1" fillId="0" borderId="2" xfId="0" applyNumberFormat="1" applyFont="1" applyBorder="1" applyAlignment="1">
      <alignment vertical="center" wrapText="1"/>
    </xf>
    <xf numFmtId="179" fontId="3" fillId="0" borderId="2" xfId="0" applyNumberFormat="1" applyFont="1" applyBorder="1" applyAlignment="1">
      <alignment vertical="center" wrapText="1"/>
    </xf>
    <xf numFmtId="0" fontId="1" fillId="0" borderId="2" xfId="0" applyFont="1" applyBorder="1" applyAlignment="1">
      <alignment vertical="center" wrapText="1" indent="1"/>
    </xf>
    <xf numFmtId="183" fontId="1" fillId="5" borderId="2" xfId="0" applyNumberFormat="1" applyFont="1" applyFill="1" applyBorder="1" applyAlignment="1">
      <alignment horizontal="right" vertical="center" wrapText="1"/>
    </xf>
    <xf numFmtId="0" fontId="6" fillId="0" borderId="0" xfId="0" applyFont="1" applyAlignment="1">
      <alignment horizontal="left" vertical="top" wrapText="1"/>
    </xf>
    <xf numFmtId="0" fontId="2" fillId="0" borderId="0" xfId="0" applyFont="1" applyAlignment="1">
      <alignment wrapText="1"/>
    </xf>
    <xf numFmtId="0" fontId="2" fillId="3" borderId="5" xfId="0" applyFont="1" applyFill="1" applyBorder="1" applyAlignment="1">
      <alignment vertical="center" wrapText="1"/>
    </xf>
    <xf numFmtId="0" fontId="2" fillId="3" borderId="7" xfId="0" applyFont="1" applyFill="1" applyBorder="1" applyAlignment="1">
      <alignment horizontal="left" wrapText="1"/>
    </xf>
    <xf numFmtId="0" fontId="2" fillId="3" borderId="7" xfId="0" applyFont="1" applyFill="1" applyBorder="1" applyAlignment="1">
      <alignment horizontal="right" vertical="center" wrapText="1" indent="1"/>
    </xf>
    <xf numFmtId="0" fontId="2" fillId="5" borderId="2" xfId="0" applyFont="1" applyFill="1" applyBorder="1" applyAlignment="1">
      <alignment wrapText="1"/>
    </xf>
    <xf numFmtId="0" fontId="6" fillId="3" borderId="7" xfId="0" applyFont="1" applyFill="1" applyBorder="1" applyAlignment="1">
      <alignment horizontal="left" vertical="top" wrapText="1"/>
    </xf>
    <xf numFmtId="0" fontId="2" fillId="5" borderId="2" xfId="0" applyFont="1" applyFill="1" applyBorder="1" applyAlignment="1">
      <alignment vertical="center" wrapText="1"/>
    </xf>
    <xf numFmtId="0" fontId="1" fillId="3" borderId="7" xfId="0" applyFont="1" applyFill="1" applyBorder="1" applyAlignment="1">
      <alignment vertical="center" wrapText="1"/>
    </xf>
    <xf numFmtId="189" fontId="1" fillId="5" borderId="2" xfId="0" applyNumberFormat="1" applyFont="1" applyFill="1" applyBorder="1" applyAlignment="1">
      <alignment horizontal="right" vertical="center" wrapText="1"/>
    </xf>
    <xf numFmtId="170" fontId="1" fillId="3" borderId="2" xfId="0" applyNumberFormat="1" applyFont="1" applyFill="1" applyBorder="1" applyAlignment="1">
      <alignment horizontal="right" wrapText="1"/>
    </xf>
    <xf numFmtId="190" fontId="1" fillId="3" borderId="2" xfId="0" applyNumberFormat="1" applyFont="1" applyFill="1" applyBorder="1" applyAlignment="1">
      <alignment horizontal="right" wrapText="1"/>
    </xf>
    <xf numFmtId="191" fontId="1" fillId="3" borderId="2" xfId="0" applyNumberFormat="1" applyFont="1" applyFill="1" applyBorder="1" applyAlignment="1">
      <alignment horizontal="right" wrapText="1"/>
    </xf>
    <xf numFmtId="184" fontId="1" fillId="5" borderId="2" xfId="0" applyNumberFormat="1" applyFont="1" applyFill="1" applyBorder="1" applyAlignment="1">
      <alignment wrapText="1"/>
    </xf>
    <xf numFmtId="189" fontId="2" fillId="3" borderId="2" xfId="0" applyNumberFormat="1" applyFont="1" applyFill="1" applyBorder="1" applyAlignment="1">
      <alignment horizontal="right" vertical="center" wrapText="1"/>
    </xf>
    <xf numFmtId="184" fontId="2" fillId="3" borderId="2" xfId="0" applyNumberFormat="1" applyFont="1" applyFill="1" applyBorder="1" applyAlignment="1">
      <alignment wrapText="1"/>
    </xf>
    <xf numFmtId="189" fontId="2" fillId="3" borderId="2" xfId="0" applyNumberFormat="1" applyFont="1" applyFill="1" applyBorder="1" applyAlignment="1">
      <alignment vertical="center" wrapText="1"/>
    </xf>
    <xf numFmtId="0" fontId="1" fillId="3" borderId="0" xfId="0" applyFont="1" applyFill="1" applyAlignment="1">
      <alignment vertical="center" wrapText="1"/>
    </xf>
    <xf numFmtId="171" fontId="2" fillId="3" borderId="2" xfId="0" applyNumberFormat="1" applyFont="1" applyFill="1" applyBorder="1" applyAlignment="1">
      <alignment horizontal="right" wrapText="1"/>
    </xf>
    <xf numFmtId="175" fontId="2" fillId="3" borderId="2" xfId="0" applyNumberFormat="1" applyFont="1" applyFill="1" applyBorder="1" applyAlignment="1">
      <alignment horizontal="right" wrapText="1"/>
    </xf>
    <xf numFmtId="192" fontId="2" fillId="3" borderId="2" xfId="0" applyNumberFormat="1" applyFont="1" applyFill="1" applyBorder="1" applyAlignment="1">
      <alignment horizontal="right" wrapText="1"/>
    </xf>
    <xf numFmtId="167" fontId="1" fillId="5" borderId="2" xfId="0" applyNumberFormat="1" applyFont="1" applyFill="1" applyBorder="1" applyAlignment="1">
      <alignment vertical="center" wrapText="1"/>
    </xf>
    <xf numFmtId="0" fontId="2" fillId="0" borderId="2" xfId="0" applyFont="1" applyBorder="1" applyAlignment="1">
      <alignment horizontal="left" vertical="center" wrapText="1" indent="3"/>
    </xf>
    <xf numFmtId="0" fontId="2" fillId="5" borderId="2" xfId="0" applyFont="1" applyFill="1" applyBorder="1" applyAlignment="1">
      <alignment horizontal="right" vertical="center" wrapText="1"/>
    </xf>
    <xf numFmtId="0" fontId="1" fillId="7" borderId="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2" xfId="0" applyFont="1" applyFill="1" applyBorder="1" applyAlignment="1">
      <alignment horizontal="left" wrapText="1" indent="1"/>
    </xf>
    <xf numFmtId="0" fontId="2" fillId="5" borderId="2" xfId="0" applyFont="1" applyFill="1" applyBorder="1" applyAlignment="1">
      <alignment horizontal="center" wrapText="1"/>
    </xf>
    <xf numFmtId="193" fontId="2" fillId="3" borderId="2" xfId="0" applyNumberFormat="1" applyFont="1" applyFill="1" applyBorder="1" applyAlignment="1">
      <alignment wrapText="1"/>
    </xf>
    <xf numFmtId="193" fontId="2" fillId="3" borderId="2" xfId="0" applyNumberFormat="1" applyFont="1" applyFill="1" applyBorder="1" applyAlignment="1">
      <alignment horizontal="right" wrapText="1"/>
    </xf>
    <xf numFmtId="194" fontId="2" fillId="3" borderId="2" xfId="0" applyNumberFormat="1" applyFont="1" applyFill="1" applyBorder="1" applyAlignment="1">
      <alignment horizontal="right" wrapText="1"/>
    </xf>
    <xf numFmtId="0" fontId="1" fillId="5" borderId="2" xfId="0" applyFont="1" applyFill="1" applyBorder="1" applyAlignment="1">
      <alignment horizontal="left" wrapText="1" indent="1"/>
    </xf>
    <xf numFmtId="177" fontId="1" fillId="5" borderId="2" xfId="0" applyNumberFormat="1" applyFont="1" applyFill="1" applyBorder="1" applyAlignment="1">
      <alignment horizontal="right" wrapText="1"/>
    </xf>
    <xf numFmtId="0" fontId="2" fillId="3" borderId="2" xfId="0" applyFont="1" applyFill="1" applyBorder="1" applyAlignment="1">
      <alignment horizontal="left" wrapText="1" indent="3"/>
    </xf>
    <xf numFmtId="177" fontId="2" fillId="3" borderId="2" xfId="0" applyNumberFormat="1" applyFont="1" applyFill="1" applyBorder="1" applyAlignment="1">
      <alignment horizontal="right" wrapText="1"/>
    </xf>
    <xf numFmtId="177" fontId="2" fillId="0" borderId="2" xfId="0" applyNumberFormat="1" applyFont="1" applyBorder="1" applyAlignment="1">
      <alignment horizontal="right" wrapText="1"/>
    </xf>
    <xf numFmtId="0" fontId="2" fillId="3" borderId="2" xfId="0" applyFont="1" applyFill="1" applyBorder="1" applyAlignment="1">
      <alignment horizontal="center" wrapText="1"/>
    </xf>
    <xf numFmtId="0" fontId="2" fillId="3" borderId="2" xfId="0" applyFont="1" applyFill="1" applyBorder="1" applyAlignment="1">
      <alignment horizontal="right" wrapText="1"/>
    </xf>
    <xf numFmtId="0" fontId="2" fillId="3" borderId="2" xfId="0" applyFont="1" applyFill="1" applyBorder="1" applyAlignment="1">
      <alignment horizontal="left" wrapText="1" indent="2"/>
    </xf>
    <xf numFmtId="170" fontId="2" fillId="3" borderId="2" xfId="0" applyNumberFormat="1" applyFont="1" applyFill="1" applyBorder="1" applyAlignment="1">
      <alignment horizontal="right" wrapText="1"/>
    </xf>
    <xf numFmtId="0" fontId="1" fillId="12" borderId="2" xfId="0" applyFont="1" applyFill="1" applyBorder="1" applyAlignment="1">
      <alignment horizontal="center" vertical="center" wrapText="1"/>
    </xf>
    <xf numFmtId="194" fontId="1" fillId="5" borderId="2" xfId="0" applyNumberFormat="1" applyFont="1" applyFill="1" applyBorder="1" applyAlignment="1">
      <alignment horizontal="right" wrapText="1"/>
    </xf>
    <xf numFmtId="0" fontId="3" fillId="0" borderId="2" xfId="0" applyFont="1" applyBorder="1" applyAlignment="1">
      <alignment horizontal="left" wrapText="1"/>
    </xf>
    <xf numFmtId="165" fontId="3" fillId="0" borderId="2" xfId="0" applyNumberFormat="1" applyFont="1" applyBorder="1" applyAlignment="1">
      <alignment horizontal="left" wrapText="1"/>
    </xf>
    <xf numFmtId="165" fontId="2" fillId="3" borderId="2" xfId="0" applyNumberFormat="1" applyFont="1" applyFill="1" applyBorder="1" applyAlignment="1">
      <alignment horizontal="right" wrapText="1"/>
    </xf>
    <xf numFmtId="167" fontId="2" fillId="0" borderId="2" xfId="0" applyNumberFormat="1" applyFont="1" applyBorder="1" applyAlignment="1">
      <alignment horizontal="right" wrapText="1"/>
    </xf>
    <xf numFmtId="165" fontId="4" fillId="0" borderId="2" xfId="0" applyNumberFormat="1" applyFont="1" applyBorder="1" applyAlignment="1">
      <alignment wrapText="1"/>
    </xf>
    <xf numFmtId="165" fontId="2" fillId="0" borderId="2" xfId="0" applyNumberFormat="1" applyFont="1" applyBorder="1" applyAlignment="1">
      <alignment horizontal="right" wrapText="1"/>
    </xf>
    <xf numFmtId="0" fontId="2" fillId="3" borderId="1" xfId="0" applyFont="1" applyFill="1" applyBorder="1" applyAlignment="1">
      <alignment vertical="center" wrapText="1"/>
    </xf>
    <xf numFmtId="195" fontId="1" fillId="3" borderId="2" xfId="0" applyNumberFormat="1" applyFont="1" applyFill="1" applyBorder="1" applyAlignment="1">
      <alignment wrapText="1"/>
    </xf>
    <xf numFmtId="196" fontId="2" fillId="3" borderId="2" xfId="0" applyNumberFormat="1" applyFont="1" applyFill="1" applyBorder="1" applyAlignment="1">
      <alignment horizontal="right" wrapText="1"/>
    </xf>
    <xf numFmtId="197" fontId="2" fillId="3" borderId="2" xfId="0" applyNumberFormat="1" applyFont="1" applyFill="1" applyBorder="1" applyAlignment="1">
      <alignment horizontal="right" wrapText="1"/>
    </xf>
    <xf numFmtId="198" fontId="2" fillId="3" borderId="2" xfId="0" applyNumberFormat="1" applyFont="1" applyFill="1" applyBorder="1" applyAlignment="1">
      <alignment wrapText="1"/>
    </xf>
    <xf numFmtId="198" fontId="2" fillId="0" borderId="2" xfId="0" applyNumberFormat="1" applyFont="1" applyBorder="1" applyAlignment="1">
      <alignment wrapText="1"/>
    </xf>
    <xf numFmtId="0" fontId="2" fillId="0" borderId="2" xfId="0" applyFont="1" applyBorder="1" applyAlignment="1">
      <alignment vertical="center" wrapText="1"/>
    </xf>
    <xf numFmtId="0" fontId="1" fillId="5" borderId="2" xfId="0" applyFont="1" applyFill="1" applyBorder="1" applyAlignment="1">
      <alignment horizontal="left" vertical="center" wrapText="1" indent="2"/>
    </xf>
    <xf numFmtId="167" fontId="1" fillId="5" borderId="2" xfId="0" applyNumberFormat="1" applyFont="1" applyFill="1" applyBorder="1" applyAlignment="1">
      <alignment horizontal="right" wrapText="1"/>
    </xf>
    <xf numFmtId="199" fontId="2" fillId="3" borderId="2" xfId="0" applyNumberFormat="1" applyFont="1" applyFill="1" applyBorder="1" applyAlignment="1">
      <alignment wrapText="1"/>
    </xf>
    <xf numFmtId="199" fontId="2" fillId="0" borderId="2" xfId="0" applyNumberFormat="1" applyFont="1" applyBorder="1" applyAlignment="1">
      <alignment wrapText="1"/>
    </xf>
    <xf numFmtId="167" fontId="2" fillId="3" borderId="2" xfId="0" applyNumberFormat="1" applyFont="1" applyFill="1" applyBorder="1" applyAlignment="1">
      <alignment horizontal="right" wrapText="1"/>
    </xf>
    <xf numFmtId="165" fontId="1" fillId="5" borderId="2" xfId="0" applyNumberFormat="1" applyFont="1" applyFill="1" applyBorder="1" applyAlignment="1">
      <alignment horizontal="right" wrapText="1"/>
    </xf>
    <xf numFmtId="0" fontId="10" fillId="3" borderId="1" xfId="0" applyFont="1" applyFill="1" applyBorder="1" applyAlignment="1">
      <alignment wrapText="1"/>
    </xf>
    <xf numFmtId="173" fontId="1" fillId="5" borderId="2" xfId="0" applyNumberFormat="1" applyFont="1" applyFill="1" applyBorder="1" applyAlignment="1">
      <alignment horizontal="right" wrapText="1"/>
    </xf>
    <xf numFmtId="175" fontId="1" fillId="5" borderId="2" xfId="0" applyNumberFormat="1" applyFont="1" applyFill="1" applyBorder="1" applyAlignment="1">
      <alignment horizontal="right" wrapText="1"/>
    </xf>
    <xf numFmtId="169" fontId="2" fillId="3" borderId="2" xfId="0" applyNumberFormat="1" applyFont="1" applyFill="1" applyBorder="1" applyAlignment="1">
      <alignment horizontal="right" vertical="center" wrapText="1"/>
    </xf>
    <xf numFmtId="167" fontId="2" fillId="3" borderId="2" xfId="0" applyNumberFormat="1" applyFont="1" applyFill="1" applyBorder="1" applyAlignment="1">
      <alignment wrapText="1"/>
    </xf>
    <xf numFmtId="200" fontId="2" fillId="3" borderId="2" xfId="0" applyNumberFormat="1" applyFont="1" applyFill="1" applyBorder="1" applyAlignment="1">
      <alignment wrapText="1"/>
    </xf>
    <xf numFmtId="201" fontId="2" fillId="3" borderId="2" xfId="0" applyNumberFormat="1" applyFont="1" applyFill="1" applyBorder="1" applyAlignment="1">
      <alignment horizontal="right" wrapText="1"/>
    </xf>
    <xf numFmtId="173" fontId="2" fillId="3" borderId="2" xfId="0" applyNumberFormat="1" applyFont="1" applyFill="1" applyBorder="1" applyAlignment="1">
      <alignment horizontal="right" wrapText="1"/>
    </xf>
    <xf numFmtId="184" fontId="2" fillId="3" borderId="2" xfId="0" applyNumberFormat="1" applyFont="1" applyFill="1" applyBorder="1" applyAlignment="1">
      <alignment vertical="center" wrapText="1"/>
    </xf>
    <xf numFmtId="169" fontId="2" fillId="3" borderId="2" xfId="0" applyNumberFormat="1" applyFont="1" applyFill="1" applyBorder="1" applyAlignment="1">
      <alignment wrapText="1"/>
    </xf>
    <xf numFmtId="202" fontId="2" fillId="3" borderId="2" xfId="0" applyNumberFormat="1" applyFont="1" applyFill="1" applyBorder="1" applyAlignment="1">
      <alignment vertical="center" wrapText="1"/>
    </xf>
    <xf numFmtId="184" fontId="1" fillId="3" borderId="2" xfId="0" applyNumberFormat="1" applyFont="1" applyFill="1" applyBorder="1" applyAlignment="1">
      <alignment vertical="center" wrapText="1"/>
    </xf>
    <xf numFmtId="175" fontId="1" fillId="5" borderId="2" xfId="0" applyNumberFormat="1" applyFont="1" applyFill="1" applyBorder="1" applyAlignment="1">
      <alignment horizontal="right" vertical="center" wrapText="1"/>
    </xf>
    <xf numFmtId="167" fontId="1" fillId="3" borderId="2" xfId="0" applyNumberFormat="1" applyFont="1" applyFill="1" applyBorder="1" applyAlignment="1">
      <alignment wrapText="1"/>
    </xf>
    <xf numFmtId="168" fontId="1" fillId="3" borderId="2" xfId="0" applyNumberFormat="1" applyFont="1" applyFill="1" applyBorder="1" applyAlignment="1">
      <alignment horizontal="right" vertical="center" wrapText="1"/>
    </xf>
    <xf numFmtId="169" fontId="1" fillId="3" borderId="2" xfId="0" applyNumberFormat="1" applyFont="1" applyFill="1" applyBorder="1" applyAlignment="1">
      <alignment horizontal="right" vertical="center" wrapText="1"/>
    </xf>
    <xf numFmtId="167" fontId="1" fillId="5" borderId="4" xfId="0" applyNumberFormat="1" applyFont="1" applyFill="1" applyBorder="1" applyAlignment="1">
      <alignment horizontal="right" vertical="center" wrapText="1"/>
    </xf>
    <xf numFmtId="167" fontId="2" fillId="3" borderId="8" xfId="0" applyNumberFormat="1" applyFont="1" applyFill="1" applyBorder="1" applyAlignment="1">
      <alignment horizontal="right" vertical="center" wrapText="1"/>
    </xf>
    <xf numFmtId="167" fontId="1" fillId="5" borderId="10" xfId="0" applyNumberFormat="1" applyFont="1" applyFill="1" applyBorder="1" applyAlignment="1">
      <alignment horizontal="right" vertical="center" wrapText="1"/>
    </xf>
    <xf numFmtId="0" fontId="3" fillId="0" borderId="2" xfId="0" applyFont="1" applyBorder="1" applyAlignment="1">
      <alignment horizontal="center" wrapText="1"/>
    </xf>
    <xf numFmtId="171" fontId="2" fillId="3" borderId="2" xfId="0" applyNumberFormat="1" applyFont="1" applyFill="1" applyBorder="1" applyAlignment="1">
      <alignment wrapText="1"/>
    </xf>
    <xf numFmtId="170" fontId="2" fillId="3" borderId="10" xfId="0" applyNumberFormat="1" applyFont="1" applyFill="1" applyBorder="1" applyAlignment="1">
      <alignment horizontal="right" vertical="center" wrapText="1"/>
    </xf>
    <xf numFmtId="198" fontId="2" fillId="3" borderId="2" xfId="0" applyNumberFormat="1" applyFont="1" applyFill="1" applyBorder="1" applyAlignment="1">
      <alignment horizontal="right" wrapText="1"/>
    </xf>
    <xf numFmtId="192" fontId="2" fillId="3" borderId="2" xfId="0" applyNumberFormat="1" applyFont="1" applyFill="1" applyBorder="1" applyAlignment="1">
      <alignment wrapText="1"/>
    </xf>
    <xf numFmtId="175" fontId="2" fillId="3" borderId="2" xfId="0" applyNumberFormat="1" applyFont="1" applyFill="1" applyBorder="1" applyAlignment="1">
      <alignment wrapText="1"/>
    </xf>
    <xf numFmtId="167" fontId="2" fillId="0" borderId="2" xfId="0" applyNumberFormat="1" applyFont="1" applyBorder="1" applyAlignment="1">
      <alignment horizontal="right" vertical="center" wrapText="1"/>
    </xf>
    <xf numFmtId="0" fontId="1" fillId="3" borderId="1" xfId="0" applyFont="1" applyFill="1" applyBorder="1" applyAlignment="1">
      <alignment horizontal="center" wrapText="1"/>
    </xf>
    <xf numFmtId="0" fontId="1" fillId="3" borderId="0" xfId="0" applyFont="1" applyFill="1" applyAlignment="1">
      <alignment horizontal="center" wrapText="1"/>
    </xf>
    <xf numFmtId="0" fontId="3" fillId="6" borderId="2" xfId="0" applyFont="1" applyFill="1" applyBorder="1" applyAlignment="1">
      <alignment wrapText="1"/>
    </xf>
    <xf numFmtId="0" fontId="3" fillId="0" borderId="10" xfId="0" applyFont="1" applyBorder="1" applyAlignment="1">
      <alignment wrapText="1"/>
    </xf>
    <xf numFmtId="167" fontId="4" fillId="0" borderId="10" xfId="0" applyNumberFormat="1" applyFont="1" applyBorder="1" applyAlignment="1">
      <alignment horizontal="right" wrapText="1"/>
    </xf>
    <xf numFmtId="0" fontId="2" fillId="0" borderId="2" xfId="0" applyFont="1" applyBorder="1" applyAlignment="1">
      <alignment horizontal="left" vertical="center" wrapText="1" indent="1"/>
    </xf>
    <xf numFmtId="165" fontId="2" fillId="0" borderId="2" xfId="0" applyNumberFormat="1" applyFont="1" applyBorder="1" applyAlignment="1">
      <alignment horizontal="right" vertical="center" wrapText="1"/>
    </xf>
    <xf numFmtId="165" fontId="23" fillId="0" borderId="2" xfId="0" applyNumberFormat="1" applyFont="1" applyBorder="1" applyAlignment="1">
      <alignment wrapText="1"/>
    </xf>
    <xf numFmtId="0" fontId="1" fillId="13" borderId="2" xfId="0" applyFont="1" applyFill="1" applyBorder="1" applyAlignment="1">
      <alignment wrapText="1"/>
    </xf>
    <xf numFmtId="167" fontId="1" fillId="13" borderId="2" xfId="0" applyNumberFormat="1" applyFont="1" applyFill="1" applyBorder="1" applyAlignment="1">
      <alignment horizontal="right" wrapText="1"/>
    </xf>
    <xf numFmtId="170" fontId="1" fillId="13" borderId="2" xfId="0" applyNumberFormat="1" applyFont="1" applyFill="1" applyBorder="1" applyAlignment="1">
      <alignment horizontal="right" wrapText="1"/>
    </xf>
    <xf numFmtId="203" fontId="4" fillId="0" borderId="2" xfId="0" applyNumberFormat="1" applyFont="1" applyBorder="1" applyAlignment="1">
      <alignment wrapText="1"/>
    </xf>
    <xf numFmtId="203" fontId="2" fillId="3" borderId="2" xfId="0" applyNumberFormat="1" applyFont="1" applyFill="1" applyBorder="1" applyAlignment="1">
      <alignment vertical="center" wrapText="1"/>
    </xf>
    <xf numFmtId="193" fontId="2" fillId="3" borderId="2" xfId="0" applyNumberFormat="1" applyFont="1" applyFill="1" applyBorder="1" applyAlignment="1">
      <alignment vertical="center" wrapText="1"/>
    </xf>
    <xf numFmtId="0" fontId="2" fillId="13" borderId="2" xfId="0" applyFont="1" applyFill="1" applyBorder="1" applyAlignment="1">
      <alignment horizontal="left" wrapText="1"/>
    </xf>
    <xf numFmtId="165" fontId="1" fillId="5" borderId="2" xfId="0" applyNumberFormat="1" applyFont="1" applyFill="1" applyBorder="1" applyAlignment="1">
      <alignment wrapText="1"/>
    </xf>
    <xf numFmtId="193" fontId="1" fillId="5" borderId="2" xfId="0" applyNumberFormat="1" applyFont="1" applyFill="1" applyBorder="1" applyAlignment="1">
      <alignment wrapText="1"/>
    </xf>
    <xf numFmtId="193" fontId="4" fillId="0" borderId="2" xfId="0" applyNumberFormat="1" applyFont="1" applyBorder="1" applyAlignment="1">
      <alignment wrapText="1"/>
    </xf>
    <xf numFmtId="0" fontId="13" fillId="0" borderId="0" xfId="0" applyFont="1" applyAlignment="1">
      <alignment wrapText="1"/>
    </xf>
    <xf numFmtId="167" fontId="1" fillId="5" borderId="2" xfId="0" applyNumberFormat="1" applyFont="1" applyFill="1" applyBorder="1" applyAlignment="1">
      <alignment wrapText="1"/>
    </xf>
    <xf numFmtId="167" fontId="2" fillId="3" borderId="2" xfId="0" applyNumberFormat="1" applyFont="1" applyFill="1" applyBorder="1" applyAlignment="1">
      <alignment vertical="top" wrapText="1"/>
    </xf>
    <xf numFmtId="204" fontId="2" fillId="3" borderId="2" xfId="0" applyNumberFormat="1" applyFont="1" applyFill="1" applyBorder="1" applyAlignment="1">
      <alignment wrapText="1"/>
    </xf>
    <xf numFmtId="203" fontId="2" fillId="3" borderId="2" xfId="0" applyNumberFormat="1" applyFont="1" applyFill="1" applyBorder="1" applyAlignment="1">
      <alignment horizontal="right" wrapText="1"/>
    </xf>
    <xf numFmtId="0" fontId="2" fillId="3" borderId="3" xfId="0" applyFont="1" applyFill="1" applyBorder="1" applyAlignment="1">
      <alignment vertical="center" wrapText="1"/>
    </xf>
    <xf numFmtId="0" fontId="2" fillId="3" borderId="7" xfId="0" applyFont="1" applyFill="1" applyBorder="1" applyAlignment="1">
      <alignment vertical="center" wrapText="1"/>
    </xf>
    <xf numFmtId="0" fontId="6" fillId="3" borderId="7" xfId="0" applyFont="1" applyFill="1" applyBorder="1" applyAlignment="1">
      <alignment vertical="top" wrapText="1"/>
    </xf>
    <xf numFmtId="0" fontId="23" fillId="3" borderId="0" xfId="0" applyFont="1" applyFill="1" applyAlignment="1">
      <alignment wrapText="1"/>
    </xf>
    <xf numFmtId="0" fontId="24" fillId="3" borderId="0" xfId="0" applyFont="1" applyFill="1" applyAlignment="1">
      <alignment horizontal="center" wrapText="1"/>
    </xf>
    <xf numFmtId="0" fontId="25" fillId="3" borderId="0" xfId="0" applyFont="1" applyFill="1" applyAlignment="1">
      <alignment wrapText="1"/>
    </xf>
    <xf numFmtId="0" fontId="1" fillId="3" borderId="0" xfId="0" applyFont="1" applyFill="1" applyAlignment="1">
      <alignment wrapText="1"/>
    </xf>
    <xf numFmtId="0" fontId="1" fillId="3" borderId="0" xfId="0" applyFont="1" applyFill="1" applyAlignment="1">
      <alignment horizontal="right" wrapText="1"/>
    </xf>
    <xf numFmtId="0" fontId="2" fillId="0" borderId="2" xfId="0" applyFont="1" applyBorder="1" applyAlignment="1">
      <alignment horizontal="right" wrapText="1"/>
    </xf>
    <xf numFmtId="0" fontId="1" fillId="3" borderId="5" xfId="0" applyFont="1" applyFill="1" applyBorder="1" applyAlignment="1">
      <alignment horizontal="left" wrapText="1"/>
    </xf>
    <xf numFmtId="0" fontId="2" fillId="5" borderId="2" xfId="0" applyFont="1" applyFill="1" applyBorder="1" applyAlignment="1">
      <alignment horizontal="right" wrapText="1"/>
    </xf>
    <xf numFmtId="0" fontId="2" fillId="3" borderId="5" xfId="0" applyFont="1" applyFill="1" applyBorder="1" applyAlignment="1">
      <alignment horizontal="right" wrapText="1"/>
    </xf>
    <xf numFmtId="0" fontId="2" fillId="5" borderId="2" xfId="0" applyFont="1" applyFill="1" applyBorder="1" applyAlignment="1">
      <alignment horizontal="left" wrapText="1"/>
    </xf>
    <xf numFmtId="0" fontId="2" fillId="3" borderId="15" xfId="0" applyFont="1" applyFill="1" applyBorder="1" applyAlignment="1">
      <alignment wrapText="1"/>
    </xf>
    <xf numFmtId="0" fontId="1" fillId="3" borderId="2" xfId="0" applyFont="1" applyFill="1" applyBorder="1" applyAlignment="1">
      <alignment horizontal="left" vertical="center" wrapText="1" indent="3"/>
    </xf>
    <xf numFmtId="0" fontId="5" fillId="5" borderId="2" xfId="0" applyFont="1" applyFill="1" applyBorder="1" applyAlignment="1">
      <alignment horizontal="left" vertical="center" wrapText="1"/>
    </xf>
    <xf numFmtId="186" fontId="2" fillId="3" borderId="2" xfId="0" applyNumberFormat="1" applyFont="1" applyFill="1" applyBorder="1" applyAlignment="1">
      <alignment horizontal="right" wrapText="1"/>
    </xf>
    <xf numFmtId="169" fontId="2" fillId="3" borderId="2" xfId="0" applyNumberFormat="1" applyFont="1" applyFill="1" applyBorder="1" applyAlignment="1">
      <alignment horizontal="right" wrapText="1"/>
    </xf>
    <xf numFmtId="165" fontId="23" fillId="3" borderId="2" xfId="0" applyNumberFormat="1" applyFont="1" applyFill="1" applyBorder="1" applyAlignment="1">
      <alignment horizontal="right" vertical="center" wrapText="1"/>
    </xf>
    <xf numFmtId="173" fontId="1" fillId="6" borderId="2" xfId="0" applyNumberFormat="1" applyFont="1" applyFill="1" applyBorder="1" applyAlignment="1">
      <alignment horizontal="right" wrapText="1"/>
    </xf>
    <xf numFmtId="174" fontId="2" fillId="3" borderId="2" xfId="0" applyNumberFormat="1" applyFont="1" applyFill="1" applyBorder="1" applyAlignment="1">
      <alignment horizontal="right" wrapText="1"/>
    </xf>
    <xf numFmtId="174" fontId="1" fillId="5" borderId="2" xfId="0" applyNumberFormat="1" applyFont="1" applyFill="1" applyBorder="1" applyAlignment="1">
      <alignment horizontal="right" wrapText="1"/>
    </xf>
    <xf numFmtId="186" fontId="1" fillId="2" borderId="2" xfId="0" applyNumberFormat="1" applyFont="1" applyFill="1" applyBorder="1" applyAlignment="1">
      <alignment horizontal="right" wrapText="1"/>
    </xf>
    <xf numFmtId="0" fontId="1" fillId="5" borderId="2" xfId="0" applyFont="1" applyFill="1" applyBorder="1" applyAlignment="1">
      <alignment horizontal="right" wrapText="1"/>
    </xf>
    <xf numFmtId="0" fontId="2" fillId="14" borderId="2" xfId="0" applyFont="1" applyFill="1" applyBorder="1" applyAlignment="1">
      <alignment wrapText="1"/>
    </xf>
    <xf numFmtId="169" fontId="1" fillId="5" borderId="2" xfId="0" applyNumberFormat="1" applyFont="1" applyFill="1" applyBorder="1" applyAlignment="1">
      <alignment horizontal="right" wrapText="1"/>
    </xf>
    <xf numFmtId="0" fontId="1" fillId="3" borderId="5" xfId="0" applyFont="1" applyFill="1" applyBorder="1" applyAlignment="1">
      <alignment horizontal="center" wrapText="1"/>
    </xf>
    <xf numFmtId="0" fontId="1" fillId="0" borderId="2" xfId="0" applyFont="1" applyBorder="1" applyAlignment="1">
      <alignment horizontal="left" vertical="center" wrapText="1"/>
    </xf>
    <xf numFmtId="165" fontId="1" fillId="2" borderId="2" xfId="0" applyNumberFormat="1" applyFont="1" applyFill="1" applyBorder="1" applyAlignment="1">
      <alignment horizontal="right" wrapText="1"/>
    </xf>
    <xf numFmtId="184" fontId="1" fillId="2" borderId="2" xfId="0" applyNumberFormat="1" applyFont="1" applyFill="1" applyBorder="1" applyAlignment="1">
      <alignment wrapText="1"/>
    </xf>
    <xf numFmtId="0" fontId="1" fillId="2" borderId="2" xfId="0" applyFont="1" applyFill="1" applyBorder="1" applyAlignment="1">
      <alignment horizontal="right" wrapText="1"/>
    </xf>
    <xf numFmtId="167" fontId="1" fillId="2" borderId="2" xfId="0" applyNumberFormat="1" applyFont="1" applyFill="1" applyBorder="1" applyAlignment="1">
      <alignment horizontal="right" wrapText="1"/>
    </xf>
    <xf numFmtId="0" fontId="23" fillId="3" borderId="2" xfId="0" applyFont="1" applyFill="1" applyBorder="1" applyAlignment="1">
      <alignment horizontal="right" wrapText="1"/>
    </xf>
    <xf numFmtId="0" fontId="4" fillId="0" borderId="1" xfId="0" applyFont="1" applyBorder="1" applyAlignment="1">
      <alignment wrapText="1"/>
    </xf>
    <xf numFmtId="0" fontId="4" fillId="0" borderId="2" xfId="0" applyFont="1" applyBorder="1" applyAlignment="1">
      <alignment horizontal="right" wrapText="1"/>
    </xf>
    <xf numFmtId="205" fontId="1" fillId="5" borderId="2" xfId="0" applyNumberFormat="1" applyFont="1" applyFill="1" applyBorder="1" applyAlignment="1">
      <alignment horizontal="right" vertical="center" wrapText="1"/>
    </xf>
    <xf numFmtId="205" fontId="2" fillId="3" borderId="2" xfId="0" applyNumberFormat="1" applyFont="1" applyFill="1" applyBorder="1" applyAlignment="1">
      <alignment horizontal="right" vertical="center" wrapText="1"/>
    </xf>
    <xf numFmtId="206" fontId="1" fillId="5" borderId="2" xfId="0" applyNumberFormat="1" applyFont="1" applyFill="1" applyBorder="1" applyAlignment="1">
      <alignment wrapText="1"/>
    </xf>
    <xf numFmtId="206" fontId="2" fillId="3" borderId="2" xfId="0" applyNumberFormat="1" applyFont="1" applyFill="1" applyBorder="1" applyAlignment="1">
      <alignment wrapText="1"/>
    </xf>
    <xf numFmtId="206" fontId="2" fillId="0" borderId="2" xfId="0" applyNumberFormat="1" applyFont="1" applyBorder="1" applyAlignment="1">
      <alignment wrapText="1"/>
    </xf>
    <xf numFmtId="207" fontId="7" fillId="3" borderId="2" xfId="0" applyNumberFormat="1" applyFont="1" applyFill="1" applyBorder="1" applyAlignment="1">
      <alignment wrapText="1"/>
    </xf>
    <xf numFmtId="0" fontId="5" fillId="3" borderId="0" xfId="0" applyFont="1" applyFill="1" applyAlignment="1">
      <alignment wrapText="1"/>
    </xf>
    <xf numFmtId="0" fontId="9" fillId="3" borderId="2" xfId="0" applyFont="1" applyFill="1" applyBorder="1" applyAlignment="1">
      <alignment wrapText="1"/>
    </xf>
    <xf numFmtId="0" fontId="9" fillId="3" borderId="2" xfId="0" applyFont="1" applyFill="1" applyBorder="1" applyAlignment="1">
      <alignment horizontal="center" wrapText="1"/>
    </xf>
    <xf numFmtId="0" fontId="7" fillId="3" borderId="2" xfId="0" applyFont="1" applyFill="1" applyBorder="1" applyAlignment="1">
      <alignment wrapText="1"/>
    </xf>
    <xf numFmtId="208" fontId="2" fillId="3" borderId="2" xfId="0" applyNumberFormat="1" applyFont="1" applyFill="1" applyBorder="1" applyAlignment="1">
      <alignment wrapText="1"/>
    </xf>
    <xf numFmtId="209" fontId="2" fillId="3" borderId="2" xfId="0" applyNumberFormat="1" applyFont="1" applyFill="1" applyBorder="1" applyAlignment="1">
      <alignment wrapText="1"/>
    </xf>
    <xf numFmtId="208" fontId="1" fillId="3" borderId="2" xfId="0" applyNumberFormat="1" applyFont="1" applyFill="1" applyBorder="1" applyAlignment="1">
      <alignment wrapText="1"/>
    </xf>
    <xf numFmtId="210" fontId="1" fillId="3" borderId="2" xfId="0" applyNumberFormat="1" applyFont="1" applyFill="1" applyBorder="1" applyAlignment="1">
      <alignment wrapText="1"/>
    </xf>
    <xf numFmtId="0" fontId="3" fillId="5" borderId="2" xfId="0" applyFont="1" applyFill="1" applyBorder="1" applyAlignment="1">
      <alignment wrapText="1"/>
    </xf>
    <xf numFmtId="0" fontId="3" fillId="2" borderId="2" xfId="0" applyFont="1" applyFill="1" applyBorder="1" applyAlignment="1">
      <alignment wrapText="1"/>
    </xf>
    <xf numFmtId="211" fontId="2" fillId="3" borderId="2" xfId="0" applyNumberFormat="1" applyFont="1" applyFill="1" applyBorder="1" applyAlignment="1">
      <alignment vertical="center" wrapText="1"/>
    </xf>
    <xf numFmtId="173" fontId="2" fillId="3" borderId="2" xfId="0" applyNumberFormat="1" applyFont="1" applyFill="1" applyBorder="1" applyAlignment="1">
      <alignment vertical="center" wrapText="1"/>
    </xf>
    <xf numFmtId="173" fontId="2" fillId="3" borderId="2" xfId="0" applyNumberFormat="1" applyFont="1" applyFill="1" applyBorder="1" applyAlignment="1">
      <alignment wrapText="1"/>
    </xf>
    <xf numFmtId="0" fontId="4" fillId="6" borderId="2" xfId="0" applyFont="1" applyFill="1" applyBorder="1" applyAlignment="1">
      <alignment vertical="center" wrapText="1"/>
    </xf>
    <xf numFmtId="0" fontId="4" fillId="6" borderId="2" xfId="0" applyFont="1" applyFill="1" applyBorder="1" applyAlignment="1">
      <alignment wrapText="1"/>
    </xf>
    <xf numFmtId="0" fontId="3" fillId="2" borderId="2" xfId="0" applyFont="1" applyFill="1" applyBorder="1" applyAlignment="1">
      <alignment wrapText="1" indent="1"/>
    </xf>
    <xf numFmtId="212" fontId="3" fillId="2" borderId="2" xfId="0" applyNumberFormat="1" applyFont="1" applyFill="1" applyBorder="1" applyAlignment="1">
      <alignment wrapText="1"/>
    </xf>
    <xf numFmtId="0" fontId="4" fillId="0" borderId="2" xfId="0" applyFont="1" applyBorder="1" applyAlignment="1">
      <alignment vertical="center" wrapText="1"/>
    </xf>
    <xf numFmtId="200" fontId="4" fillId="0" borderId="2" xfId="0" applyNumberFormat="1" applyFont="1" applyBorder="1" applyAlignment="1">
      <alignment wrapText="1"/>
    </xf>
    <xf numFmtId="0" fontId="4" fillId="0" borderId="2" xfId="0" applyFont="1" applyBorder="1" applyAlignment="1">
      <alignment wrapText="1" indent="3"/>
    </xf>
    <xf numFmtId="212" fontId="4" fillId="0" borderId="2" xfId="0" applyNumberFormat="1" applyFont="1" applyBorder="1" applyAlignment="1">
      <alignment horizontal="right" wrapText="1"/>
    </xf>
    <xf numFmtId="211" fontId="1" fillId="3" borderId="2" xfId="0" applyNumberFormat="1" applyFont="1" applyFill="1" applyBorder="1" applyAlignment="1">
      <alignment vertical="center" wrapText="1"/>
    </xf>
    <xf numFmtId="173" fontId="1" fillId="3" borderId="2" xfId="0" applyNumberFormat="1" applyFont="1" applyFill="1" applyBorder="1" applyAlignment="1">
      <alignment vertical="center" wrapText="1"/>
    </xf>
    <xf numFmtId="173" fontId="1" fillId="3" borderId="2" xfId="0" applyNumberFormat="1" applyFont="1" applyFill="1" applyBorder="1" applyAlignment="1">
      <alignment wrapText="1"/>
    </xf>
    <xf numFmtId="200" fontId="3" fillId="0" borderId="2" xfId="0" applyNumberFormat="1" applyFont="1" applyBorder="1" applyAlignment="1">
      <alignment wrapText="1"/>
    </xf>
    <xf numFmtId="213" fontId="3" fillId="2" borderId="2" xfId="0" applyNumberFormat="1" applyFont="1" applyFill="1" applyBorder="1" applyAlignment="1">
      <alignment wrapText="1"/>
    </xf>
    <xf numFmtId="0" fontId="4" fillId="0" borderId="2" xfId="0" applyFont="1" applyBorder="1" applyAlignment="1">
      <alignment horizontal="right" wrapText="1"/>
    </xf>
    <xf numFmtId="0" fontId="3" fillId="0" borderId="2" xfId="0" applyFont="1" applyBorder="1" applyAlignment="1">
      <alignment vertical="center" wrapText="1"/>
    </xf>
    <xf numFmtId="212" fontId="3" fillId="2" borderId="10" xfId="0" applyNumberFormat="1" applyFont="1" applyFill="1" applyBorder="1" applyAlignment="1">
      <alignment wrapText="1"/>
    </xf>
    <xf numFmtId="0" fontId="1" fillId="3" borderId="3" xfId="0" applyFont="1" applyFill="1" applyBorder="1" applyAlignment="1">
      <alignment wrapText="1"/>
    </xf>
    <xf numFmtId="0" fontId="2" fillId="3" borderId="2" xfId="0" applyFont="1" applyFill="1" applyBorder="1" applyAlignment="1">
      <alignment horizontal="right" wrapText="1" indent="1"/>
    </xf>
    <xf numFmtId="214" fontId="2" fillId="3" borderId="2" xfId="0" applyNumberFormat="1" applyFont="1" applyFill="1" applyBorder="1" applyAlignment="1">
      <alignment horizontal="right" vertical="center" wrapText="1"/>
    </xf>
    <xf numFmtId="0" fontId="1" fillId="3" borderId="2" xfId="0" applyFont="1" applyFill="1" applyBorder="1" applyAlignment="1">
      <alignment horizontal="right" wrapText="1" indent="1"/>
    </xf>
    <xf numFmtId="214" fontId="1" fillId="3" borderId="2" xfId="0" applyNumberFormat="1" applyFont="1" applyFill="1" applyBorder="1" applyAlignment="1">
      <alignment horizontal="right" vertical="center" wrapText="1"/>
    </xf>
    <xf numFmtId="0" fontId="9" fillId="5" borderId="2" xfId="0" applyFont="1" applyFill="1" applyBorder="1" applyAlignment="1">
      <alignment horizontal="left" wrapText="1"/>
    </xf>
    <xf numFmtId="165" fontId="9" fillId="3" borderId="2" xfId="0" applyNumberFormat="1" applyFont="1" applyFill="1" applyBorder="1" applyAlignment="1">
      <alignment horizontal="left" wrapText="1"/>
    </xf>
    <xf numFmtId="165"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184" fontId="7" fillId="3" borderId="2" xfId="0" applyNumberFormat="1" applyFont="1" applyFill="1" applyBorder="1" applyAlignment="1">
      <alignment vertical="center" wrapText="1"/>
    </xf>
    <xf numFmtId="184" fontId="9" fillId="3" borderId="2" xfId="0" applyNumberFormat="1" applyFont="1" applyFill="1" applyBorder="1" applyAlignment="1">
      <alignment vertical="center" wrapText="1"/>
    </xf>
    <xf numFmtId="215" fontId="2" fillId="3" borderId="2" xfId="0" applyNumberFormat="1" applyFont="1" applyFill="1" applyBorder="1" applyAlignment="1">
      <alignment vertical="center" wrapText="1"/>
    </xf>
    <xf numFmtId="200" fontId="2" fillId="3" borderId="2" xfId="0" applyNumberFormat="1" applyFont="1" applyFill="1" applyBorder="1" applyAlignment="1">
      <alignment vertical="center" wrapText="1"/>
    </xf>
    <xf numFmtId="167" fontId="4" fillId="0" borderId="2" xfId="0" applyNumberFormat="1" applyFont="1" applyBorder="1" applyAlignment="1">
      <alignment wrapText="1"/>
    </xf>
    <xf numFmtId="167" fontId="3" fillId="0" borderId="2" xfId="0" applyNumberFormat="1" applyFont="1" applyBorder="1" applyAlignment="1">
      <alignment wrapText="1"/>
    </xf>
    <xf numFmtId="168" fontId="4" fillId="0" borderId="2" xfId="0" applyNumberFormat="1" applyFont="1" applyBorder="1" applyAlignment="1">
      <alignment wrapText="1"/>
    </xf>
    <xf numFmtId="186" fontId="2" fillId="3" borderId="2" xfId="0" applyNumberFormat="1" applyFont="1" applyFill="1" applyBorder="1" applyAlignment="1">
      <alignment vertical="center" wrapText="1"/>
    </xf>
    <xf numFmtId="188" fontId="2" fillId="3" borderId="2" xfId="0" applyNumberFormat="1" applyFont="1" applyFill="1" applyBorder="1" applyAlignment="1">
      <alignment vertical="center" wrapText="1"/>
    </xf>
    <xf numFmtId="169" fontId="1" fillId="3" borderId="2" xfId="0" applyNumberFormat="1" applyFont="1" applyFill="1" applyBorder="1" applyAlignment="1">
      <alignment vertical="center" wrapText="1"/>
    </xf>
    <xf numFmtId="186" fontId="1" fillId="3" borderId="2" xfId="0" applyNumberFormat="1" applyFont="1" applyFill="1" applyBorder="1" applyAlignment="1">
      <alignment vertical="center" wrapText="1"/>
    </xf>
    <xf numFmtId="186" fontId="1" fillId="3" borderId="2" xfId="0" applyNumberFormat="1" applyFont="1" applyFill="1" applyBorder="1" applyAlignment="1">
      <alignment horizontal="right" vertical="center" wrapText="1"/>
    </xf>
    <xf numFmtId="186" fontId="1" fillId="0" borderId="2" xfId="0" applyNumberFormat="1" applyFont="1" applyBorder="1" applyAlignment="1">
      <alignment horizontal="right" vertical="center" wrapText="1"/>
    </xf>
    <xf numFmtId="165" fontId="1" fillId="5" borderId="2" xfId="0" applyNumberFormat="1" applyFont="1" applyFill="1" applyBorder="1" applyAlignment="1">
      <alignment horizontal="left" wrapText="1"/>
    </xf>
    <xf numFmtId="173" fontId="4" fillId="0" borderId="2" xfId="0" applyNumberFormat="1" applyFont="1" applyBorder="1" applyAlignment="1">
      <alignment wrapText="1"/>
    </xf>
    <xf numFmtId="0" fontId="1" fillId="3" borderId="2" xfId="0" applyFont="1" applyFill="1" applyBorder="1" applyAlignment="1">
      <alignment horizontal="left" vertical="center" wrapText="1" indent="1"/>
    </xf>
    <xf numFmtId="167" fontId="2" fillId="5" borderId="2" xfId="0" applyNumberFormat="1" applyFont="1" applyFill="1" applyBorder="1" applyAlignment="1">
      <alignment vertical="center" wrapText="1"/>
    </xf>
    <xf numFmtId="173" fontId="2" fillId="5" borderId="2" xfId="0" applyNumberFormat="1" applyFont="1" applyFill="1" applyBorder="1" applyAlignment="1">
      <alignment vertical="center" wrapText="1"/>
    </xf>
    <xf numFmtId="207" fontId="2" fillId="3" borderId="2" xfId="0" applyNumberFormat="1" applyFont="1" applyFill="1" applyBorder="1" applyAlignment="1">
      <alignment vertical="center" wrapText="1"/>
    </xf>
    <xf numFmtId="173" fontId="2" fillId="0" borderId="2" xfId="0" applyNumberFormat="1" applyFont="1" applyBorder="1" applyAlignment="1">
      <alignment vertical="center" wrapText="1"/>
    </xf>
    <xf numFmtId="173" fontId="1" fillId="0" borderId="2" xfId="0" applyNumberFormat="1" applyFont="1" applyBorder="1" applyAlignment="1">
      <alignment vertical="center" wrapText="1"/>
    </xf>
    <xf numFmtId="0" fontId="6" fillId="3" borderId="0" xfId="0" applyFont="1" applyFill="1" applyBorder="1" applyAlignment="1">
      <alignment vertical="top" wrapText="1"/>
    </xf>
    <xf numFmtId="165" fontId="2" fillId="0" borderId="10" xfId="0" applyNumberFormat="1" applyFont="1" applyBorder="1" applyAlignment="1">
      <alignment wrapText="1"/>
    </xf>
    <xf numFmtId="0" fontId="4" fillId="0" borderId="0" xfId="0" applyFont="1" applyBorder="1" applyAlignment="1">
      <alignment wrapText="1"/>
    </xf>
    <xf numFmtId="0" fontId="2" fillId="3" borderId="0" xfId="0" applyFont="1" applyFill="1" applyBorder="1" applyAlignment="1">
      <alignment wrapText="1"/>
    </xf>
    <xf numFmtId="0" fontId="38" fillId="3" borderId="1" xfId="0" applyFont="1" applyFill="1" applyBorder="1" applyAlignment="1">
      <alignment horizontal="left" vertical="center" wrapText="1" indent="2"/>
    </xf>
    <xf numFmtId="0" fontId="40" fillId="5" borderId="2" xfId="0" applyFont="1" applyFill="1" applyBorder="1" applyAlignment="1">
      <alignment vertical="center" wrapText="1"/>
    </xf>
    <xf numFmtId="0" fontId="41" fillId="3" borderId="2" xfId="0" applyFont="1" applyFill="1" applyBorder="1" applyAlignment="1">
      <alignment horizontal="left" vertical="center" wrapText="1" indent="2"/>
    </xf>
    <xf numFmtId="177" fontId="41" fillId="3" borderId="2" xfId="0" applyNumberFormat="1" applyFont="1" applyFill="1" applyBorder="1" applyAlignment="1">
      <alignment horizontal="right" vertical="center" wrapText="1" indent="1"/>
    </xf>
    <xf numFmtId="187" fontId="40" fillId="5" borderId="2" xfId="0" applyNumberFormat="1" applyFont="1" applyFill="1" applyBorder="1" applyAlignment="1">
      <alignment vertical="center" wrapText="1"/>
    </xf>
    <xf numFmtId="0" fontId="40" fillId="3" borderId="2" xfId="0" applyFont="1" applyFill="1" applyBorder="1" applyAlignment="1">
      <alignment horizontal="left" wrapText="1"/>
    </xf>
    <xf numFmtId="0" fontId="40" fillId="5" borderId="2" xfId="0" applyFont="1" applyFill="1" applyBorder="1" applyAlignment="1">
      <alignment horizontal="left" vertical="center" wrapText="1" indent="1"/>
    </xf>
    <xf numFmtId="167" fontId="40" fillId="5" borderId="2" xfId="0" applyNumberFormat="1" applyFont="1" applyFill="1" applyBorder="1" applyAlignment="1">
      <alignment vertical="center" wrapText="1"/>
    </xf>
    <xf numFmtId="167" fontId="41" fillId="0" borderId="2" xfId="0" applyNumberFormat="1" applyFont="1" applyBorder="1" applyAlignment="1">
      <alignment vertical="center" wrapText="1"/>
    </xf>
    <xf numFmtId="0" fontId="41" fillId="3" borderId="2" xfId="0" applyFont="1" applyFill="1" applyBorder="1" applyAlignment="1">
      <alignment horizontal="right" vertical="center" wrapText="1"/>
    </xf>
    <xf numFmtId="0" fontId="41" fillId="0" borderId="2" xfId="0" applyFont="1" applyBorder="1" applyAlignment="1">
      <alignment horizontal="right" vertical="center" wrapText="1"/>
    </xf>
    <xf numFmtId="0" fontId="35" fillId="3" borderId="2" xfId="0" applyFont="1" applyFill="1" applyBorder="1" applyAlignment="1">
      <alignment horizontal="right" vertical="center" wrapText="1"/>
    </xf>
    <xf numFmtId="0" fontId="3" fillId="0" borderId="16" xfId="0" applyFont="1" applyBorder="1" applyAlignment="1">
      <alignment wrapText="1"/>
    </xf>
    <xf numFmtId="167" fontId="4" fillId="0" borderId="16" xfId="0" applyNumberFormat="1" applyFont="1" applyBorder="1" applyAlignment="1">
      <alignment horizontal="right" wrapText="1"/>
    </xf>
    <xf numFmtId="165" fontId="43" fillId="3" borderId="2" xfId="0" applyNumberFormat="1" applyFont="1" applyFill="1" applyBorder="1" applyAlignment="1">
      <alignment horizontal="left" wrapText="1"/>
    </xf>
    <xf numFmtId="184" fontId="44" fillId="3" borderId="2" xfId="0" applyNumberFormat="1" applyFont="1" applyFill="1" applyBorder="1" applyAlignment="1">
      <alignment vertical="center" wrapText="1"/>
    </xf>
    <xf numFmtId="184" fontId="43" fillId="3" borderId="2" xfId="0" applyNumberFormat="1" applyFont="1" applyFill="1" applyBorder="1" applyAlignment="1">
      <alignment vertical="center" wrapText="1"/>
    </xf>
    <xf numFmtId="167" fontId="41" fillId="3" borderId="2" xfId="0" applyNumberFormat="1" applyFont="1" applyFill="1" applyBorder="1" applyAlignment="1">
      <alignment vertical="center" wrapText="1"/>
    </xf>
    <xf numFmtId="215" fontId="41" fillId="3" borderId="2" xfId="0" applyNumberFormat="1" applyFont="1" applyFill="1" applyBorder="1" applyAlignment="1">
      <alignment vertical="center" wrapText="1"/>
    </xf>
    <xf numFmtId="175" fontId="41" fillId="3" borderId="2" xfId="0" applyNumberFormat="1" applyFont="1" applyFill="1" applyBorder="1" applyAlignment="1">
      <alignment vertical="center" wrapText="1"/>
    </xf>
    <xf numFmtId="167" fontId="40" fillId="3" borderId="2" xfId="0" applyNumberFormat="1" applyFont="1" applyFill="1" applyBorder="1" applyAlignment="1">
      <alignment vertical="center" wrapText="1"/>
    </xf>
    <xf numFmtId="0" fontId="0" fillId="0" borderId="0" xfId="0" applyAlignment="1"/>
    <xf numFmtId="184" fontId="7" fillId="3" borderId="10" xfId="0" applyNumberFormat="1" applyFont="1" applyFill="1" applyBorder="1" applyAlignment="1">
      <alignment vertical="center" wrapText="1"/>
    </xf>
    <xf numFmtId="184" fontId="9" fillId="3" borderId="10" xfId="0" applyNumberFormat="1" applyFont="1" applyFill="1" applyBorder="1" applyAlignment="1">
      <alignment vertical="center" wrapText="1"/>
    </xf>
    <xf numFmtId="184" fontId="7" fillId="3" borderId="4" xfId="0" applyNumberFormat="1" applyFont="1" applyFill="1" applyBorder="1" applyAlignment="1">
      <alignment vertical="center" wrapText="1"/>
    </xf>
    <xf numFmtId="184" fontId="7" fillId="3" borderId="16" xfId="0" applyNumberFormat="1" applyFont="1" applyFill="1" applyBorder="1" applyAlignment="1">
      <alignment vertical="center" wrapText="1"/>
    </xf>
    <xf numFmtId="184" fontId="9" fillId="3" borderId="16" xfId="0" applyNumberFormat="1" applyFont="1" applyFill="1" applyBorder="1" applyAlignment="1">
      <alignment vertical="center" wrapText="1"/>
    </xf>
    <xf numFmtId="0" fontId="40" fillId="5" borderId="2" xfId="0" applyFont="1" applyFill="1" applyBorder="1" applyAlignment="1">
      <alignment horizontal="left" wrapText="1"/>
    </xf>
    <xf numFmtId="0" fontId="40" fillId="3" borderId="2" xfId="0" applyFont="1" applyFill="1" applyBorder="1" applyAlignment="1">
      <alignment vertical="center" wrapText="1"/>
    </xf>
    <xf numFmtId="173" fontId="41" fillId="3" borderId="2" xfId="0" applyNumberFormat="1" applyFont="1" applyFill="1" applyBorder="1" applyAlignment="1">
      <alignment vertical="center" wrapText="1"/>
    </xf>
    <xf numFmtId="0" fontId="40" fillId="5" borderId="2" xfId="0" applyFont="1" applyFill="1" applyBorder="1" applyAlignment="1">
      <alignment wrapText="1"/>
    </xf>
    <xf numFmtId="0" fontId="41" fillId="3" borderId="2" xfId="0" applyFont="1" applyFill="1" applyBorder="1" applyAlignment="1">
      <alignment vertical="center" wrapText="1"/>
    </xf>
    <xf numFmtId="0" fontId="41" fillId="3" borderId="2" xfId="0" applyFont="1" applyFill="1" applyBorder="1" applyAlignment="1">
      <alignment vertical="center" wrapText="1" indent="1"/>
    </xf>
    <xf numFmtId="216" fontId="1" fillId="5" borderId="2" xfId="1" applyNumberFormat="1" applyFont="1" applyFill="1" applyBorder="1" applyAlignment="1">
      <alignment horizontal="right" wrapText="1"/>
    </xf>
    <xf numFmtId="0" fontId="45" fillId="0" borderId="0" xfId="0" applyFont="1" applyAlignment="1">
      <alignment vertical="center"/>
    </xf>
    <xf numFmtId="0" fontId="46" fillId="0" borderId="0" xfId="0" applyFont="1" applyAlignment="1">
      <alignment wrapText="1"/>
    </xf>
    <xf numFmtId="0" fontId="41" fillId="0" borderId="0" xfId="0" applyFont="1" applyAlignment="1">
      <alignment wrapText="1"/>
    </xf>
    <xf numFmtId="0" fontId="0" fillId="0" borderId="0" xfId="0" applyAlignment="1">
      <alignment vertical="center"/>
    </xf>
    <xf numFmtId="0" fontId="0" fillId="0" borderId="0" xfId="0" applyAlignment="1">
      <alignment horizontal="left" vertical="center" indent="3"/>
    </xf>
    <xf numFmtId="0" fontId="46" fillId="0" borderId="0" xfId="0" applyFont="1" applyAlignment="1">
      <alignment vertical="center" wrapText="1"/>
    </xf>
    <xf numFmtId="0" fontId="1" fillId="3" borderId="2" xfId="0" applyFont="1" applyFill="1" applyBorder="1" applyAlignment="1">
      <alignment horizontal="right" wrapText="1"/>
    </xf>
    <xf numFmtId="0" fontId="2" fillId="3" borderId="0" xfId="0" applyFont="1" applyFill="1" applyAlignment="1">
      <alignment wrapText="1"/>
    </xf>
    <xf numFmtId="0" fontId="1" fillId="3" borderId="2" xfId="0" applyFont="1" applyFill="1" applyBorder="1" applyAlignment="1">
      <alignment horizontal="left" wrapText="1"/>
    </xf>
    <xf numFmtId="0" fontId="0" fillId="0" borderId="0" xfId="0"/>
    <xf numFmtId="0" fontId="4" fillId="0" borderId="0" xfId="0" applyFont="1" applyAlignment="1">
      <alignment wrapText="1"/>
    </xf>
    <xf numFmtId="0" fontId="4" fillId="0" borderId="7" xfId="0" applyFont="1" applyBorder="1" applyAlignment="1">
      <alignment wrapText="1"/>
    </xf>
    <xf numFmtId="0" fontId="35" fillId="3" borderId="2" xfId="0" applyFont="1" applyFill="1" applyBorder="1" applyAlignment="1">
      <alignment vertical="center" wrapText="1"/>
    </xf>
    <xf numFmtId="0" fontId="1" fillId="3" borderId="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2" xfId="0" applyFont="1" applyFill="1" applyBorder="1" applyAlignment="1">
      <alignment horizontal="left" vertical="center" wrapText="1" indent="1"/>
    </xf>
    <xf numFmtId="0" fontId="1" fillId="5" borderId="2" xfId="0" applyFont="1" applyFill="1" applyBorder="1" applyAlignment="1">
      <alignment horizontal="left" wrapText="1"/>
    </xf>
    <xf numFmtId="0" fontId="1" fillId="5" borderId="2" xfId="0" applyFont="1" applyFill="1" applyBorder="1" applyAlignment="1">
      <alignment horizontal="left" vertical="center" wrapText="1"/>
    </xf>
    <xf numFmtId="0" fontId="1" fillId="5" borderId="2" xfId="0" applyFont="1" applyFill="1" applyBorder="1" applyAlignment="1">
      <alignment wrapText="1"/>
    </xf>
    <xf numFmtId="0" fontId="14" fillId="0" borderId="0" xfId="0" applyFont="1" applyFill="1" applyAlignment="1">
      <alignment vertical="center" wrapText="1"/>
    </xf>
    <xf numFmtId="164" fontId="2" fillId="3" borderId="10" xfId="0" applyNumberFormat="1" applyFont="1" applyFill="1" applyBorder="1" applyAlignment="1">
      <alignment wrapText="1"/>
    </xf>
    <xf numFmtId="0" fontId="5"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6" xfId="0" applyFont="1" applyFill="1" applyBorder="1" applyAlignment="1">
      <alignment horizontal="left" wrapText="1"/>
    </xf>
    <xf numFmtId="0" fontId="35" fillId="3" borderId="2" xfId="0" applyFont="1" applyFill="1" applyBorder="1" applyAlignment="1">
      <alignment vertical="top" wrapText="1"/>
    </xf>
    <xf numFmtId="0" fontId="47" fillId="2" borderId="2" xfId="0" applyFont="1" applyFill="1" applyBorder="1" applyAlignment="1">
      <alignment wrapText="1"/>
    </xf>
    <xf numFmtId="0" fontId="49" fillId="0" borderId="0" xfId="0" applyFont="1" applyFill="1" applyAlignment="1">
      <alignment wrapText="1"/>
    </xf>
    <xf numFmtId="0" fontId="47" fillId="5" borderId="2" xfId="0" applyFont="1" applyFill="1" applyBorder="1" applyAlignment="1">
      <alignment wrapText="1"/>
    </xf>
    <xf numFmtId="165" fontId="52" fillId="0" borderId="0" xfId="0" applyNumberFormat="1" applyFont="1" applyAlignment="1">
      <alignment wrapText="1"/>
    </xf>
    <xf numFmtId="0" fontId="47" fillId="6" borderId="2" xfId="0" applyFont="1" applyFill="1" applyBorder="1" applyAlignment="1">
      <alignment wrapText="1"/>
    </xf>
    <xf numFmtId="0" fontId="47" fillId="5" borderId="2" xfId="0" applyFont="1" applyFill="1" applyBorder="1" applyAlignment="1">
      <alignment horizontal="left" wrapText="1"/>
    </xf>
    <xf numFmtId="0" fontId="47" fillId="5" borderId="4" xfId="0" applyFont="1" applyFill="1" applyBorder="1" applyAlignment="1">
      <alignment vertical="center" wrapText="1"/>
    </xf>
    <xf numFmtId="171" fontId="2" fillId="3" borderId="10" xfId="0" applyNumberFormat="1" applyFont="1" applyFill="1" applyBorder="1" applyAlignment="1">
      <alignment horizontal="right" vertical="center" wrapText="1"/>
    </xf>
    <xf numFmtId="171" fontId="2" fillId="3" borderId="12" xfId="0" applyNumberFormat="1" applyFont="1" applyFill="1" applyBorder="1" applyAlignment="1">
      <alignment horizontal="right" vertical="center" wrapText="1"/>
    </xf>
    <xf numFmtId="171" fontId="2" fillId="3" borderId="16" xfId="0" applyNumberFormat="1" applyFont="1" applyFill="1" applyBorder="1" applyAlignment="1">
      <alignment horizontal="right" vertical="center" wrapText="1"/>
    </xf>
    <xf numFmtId="0" fontId="2" fillId="3" borderId="2" xfId="0" applyFont="1" applyFill="1" applyBorder="1" applyAlignment="1">
      <alignment horizontal="right" vertical="center" wrapText="1" indent="2"/>
    </xf>
    <xf numFmtId="0" fontId="47" fillId="3" borderId="2" xfId="0" applyFont="1" applyFill="1" applyBorder="1" applyAlignment="1">
      <alignment horizontal="left" wrapText="1"/>
    </xf>
    <xf numFmtId="0" fontId="47" fillId="5" borderId="2" xfId="0" applyFont="1" applyFill="1" applyBorder="1" applyAlignment="1">
      <alignment horizontal="left" wrapText="1" indent="1"/>
    </xf>
    <xf numFmtId="167" fontId="1" fillId="3" borderId="2" xfId="0" applyNumberFormat="1" applyFont="1" applyFill="1" applyBorder="1" applyAlignment="1">
      <alignment horizontal="right" wrapText="1"/>
    </xf>
    <xf numFmtId="0" fontId="40" fillId="3" borderId="2" xfId="0" applyFont="1" applyFill="1" applyBorder="1" applyAlignment="1">
      <alignment wrapText="1"/>
    </xf>
    <xf numFmtId="0" fontId="47" fillId="13" borderId="2" xfId="0" applyFont="1" applyFill="1" applyBorder="1" applyAlignment="1">
      <alignment wrapText="1"/>
    </xf>
    <xf numFmtId="0" fontId="47" fillId="13" borderId="2" xfId="0" applyFont="1" applyFill="1" applyBorder="1" applyAlignment="1">
      <alignment horizontal="left" wrapText="1"/>
    </xf>
    <xf numFmtId="0" fontId="49" fillId="0" borderId="1" xfId="0" applyFont="1" applyFill="1" applyBorder="1" applyAlignment="1">
      <alignment wrapText="1"/>
    </xf>
    <xf numFmtId="0" fontId="0" fillId="0" borderId="0" xfId="0" applyBorder="1"/>
    <xf numFmtId="0" fontId="35" fillId="3" borderId="2" xfId="0" applyFont="1" applyFill="1" applyBorder="1" applyAlignment="1">
      <alignment horizontal="left" vertical="center" wrapText="1"/>
    </xf>
    <xf numFmtId="0" fontId="35" fillId="0" borderId="2" xfId="0" applyFont="1" applyBorder="1" applyAlignment="1">
      <alignment horizontal="left" vertical="center" wrapText="1"/>
    </xf>
    <xf numFmtId="0" fontId="6" fillId="3" borderId="17" xfId="0" applyFont="1" applyFill="1" applyBorder="1" applyAlignment="1">
      <alignment vertical="top" wrapText="1"/>
    </xf>
    <xf numFmtId="0" fontId="2" fillId="3" borderId="17" xfId="0" applyFont="1" applyFill="1" applyBorder="1" applyAlignment="1">
      <alignment wrapText="1"/>
    </xf>
    <xf numFmtId="0" fontId="2" fillId="3" borderId="18" xfId="0" applyFont="1" applyFill="1" applyBorder="1" applyAlignment="1">
      <alignment wrapText="1"/>
    </xf>
    <xf numFmtId="0" fontId="4" fillId="3" borderId="18" xfId="0" applyFont="1" applyFill="1" applyBorder="1" applyAlignment="1">
      <alignment wrapText="1"/>
    </xf>
    <xf numFmtId="0" fontId="4" fillId="0" borderId="17" xfId="0" applyFont="1" applyBorder="1" applyAlignment="1">
      <alignment wrapText="1"/>
    </xf>
    <xf numFmtId="0" fontId="0" fillId="0" borderId="17" xfId="0" applyBorder="1"/>
    <xf numFmtId="0" fontId="2" fillId="3" borderId="19" xfId="0" applyFont="1" applyFill="1" applyBorder="1" applyAlignment="1">
      <alignment wrapText="1"/>
    </xf>
    <xf numFmtId="0" fontId="4" fillId="0" borderId="19" xfId="0" applyFont="1" applyBorder="1" applyAlignment="1">
      <alignment wrapText="1"/>
    </xf>
    <xf numFmtId="0" fontId="0" fillId="0" borderId="19" xfId="0" applyBorder="1"/>
    <xf numFmtId="0" fontId="40" fillId="0" borderId="2" xfId="0" applyFont="1" applyBorder="1" applyAlignment="1">
      <alignment wrapText="1"/>
    </xf>
    <xf numFmtId="0" fontId="1" fillId="15" borderId="0" xfId="0" applyFont="1" applyFill="1" applyBorder="1" applyAlignment="1">
      <alignment horizontal="left" vertical="center" wrapText="1"/>
    </xf>
    <xf numFmtId="167" fontId="1" fillId="15" borderId="0" xfId="0" applyNumberFormat="1" applyFont="1" applyFill="1" applyBorder="1" applyAlignment="1">
      <alignment horizontal="right" vertical="center" wrapText="1"/>
    </xf>
    <xf numFmtId="173" fontId="1" fillId="15" borderId="0" xfId="0" applyNumberFormat="1" applyFont="1" applyFill="1" applyBorder="1" applyAlignment="1">
      <alignment horizontal="right" wrapText="1"/>
    </xf>
    <xf numFmtId="0" fontId="4" fillId="15" borderId="0" xfId="0" applyFont="1" applyFill="1" applyBorder="1" applyAlignment="1">
      <alignment wrapText="1"/>
    </xf>
    <xf numFmtId="0" fontId="0" fillId="15" borderId="0" xfId="0" applyFill="1" applyBorder="1"/>
    <xf numFmtId="0" fontId="35" fillId="0" borderId="2" xfId="0" applyFont="1" applyBorder="1" applyAlignment="1">
      <alignment horizontal="left" vertical="center" wrapText="1" indent="2"/>
    </xf>
    <xf numFmtId="9" fontId="2" fillId="3" borderId="2" xfId="0" applyNumberFormat="1" applyFont="1" applyFill="1" applyBorder="1" applyAlignment="1">
      <alignment horizontal="right" wrapText="1"/>
    </xf>
    <xf numFmtId="9" fontId="1" fillId="5" borderId="2" xfId="0" applyNumberFormat="1" applyFont="1" applyFill="1" applyBorder="1" applyAlignment="1">
      <alignment horizontal="right" wrapText="1"/>
    </xf>
    <xf numFmtId="0" fontId="1" fillId="16" borderId="2" xfId="0" applyFont="1" applyFill="1" applyBorder="1" applyAlignment="1">
      <alignment horizontal="left" wrapText="1" indent="1"/>
    </xf>
    <xf numFmtId="0" fontId="47" fillId="4" borderId="2" xfId="0" applyFont="1" applyFill="1" applyBorder="1" applyAlignment="1">
      <alignment horizontal="left" vertical="center" wrapText="1"/>
    </xf>
    <xf numFmtId="0" fontId="47" fillId="3" borderId="2" xfId="0" applyFont="1" applyFill="1" applyBorder="1" applyAlignment="1">
      <alignment wrapText="1"/>
    </xf>
    <xf numFmtId="178" fontId="47" fillId="0" borderId="2" xfId="0" applyNumberFormat="1" applyFont="1" applyBorder="1" applyAlignment="1">
      <alignment vertical="center" wrapText="1" indent="1"/>
    </xf>
    <xf numFmtId="179" fontId="47" fillId="0" borderId="2" xfId="0" applyNumberFormat="1" applyFont="1" applyBorder="1" applyAlignment="1">
      <alignment vertical="center" wrapText="1" indent="1"/>
    </xf>
    <xf numFmtId="184" fontId="4" fillId="0" borderId="2" xfId="0" applyNumberFormat="1" applyFont="1" applyBorder="1" applyAlignment="1">
      <alignment horizontal="right" wrapText="1"/>
    </xf>
    <xf numFmtId="184" fontId="2" fillId="0" borderId="2" xfId="0" applyNumberFormat="1" applyFont="1" applyBorder="1" applyAlignment="1">
      <alignment horizontal="right" wrapText="1"/>
    </xf>
    <xf numFmtId="184" fontId="21" fillId="0" borderId="2" xfId="0" applyNumberFormat="1" applyFont="1" applyBorder="1" applyAlignment="1">
      <alignment horizontal="right" wrapText="1"/>
    </xf>
    <xf numFmtId="165" fontId="1" fillId="3" borderId="2" xfId="0" applyNumberFormat="1" applyFont="1" applyFill="1" applyBorder="1" applyAlignment="1">
      <alignment horizontal="right" wrapText="1"/>
    </xf>
    <xf numFmtId="188" fontId="1" fillId="5" borderId="2" xfId="0" applyNumberFormat="1" applyFont="1" applyFill="1" applyBorder="1" applyAlignment="1">
      <alignment horizontal="right" vertical="center" wrapText="1"/>
    </xf>
    <xf numFmtId="0" fontId="35" fillId="3" borderId="2" xfId="0" applyFont="1" applyFill="1" applyBorder="1" applyAlignment="1">
      <alignment horizontal="left" vertical="center" wrapText="1" indent="3"/>
    </xf>
    <xf numFmtId="0" fontId="47" fillId="3" borderId="2" xfId="0" applyFont="1" applyFill="1" applyBorder="1" applyAlignment="1">
      <alignment vertical="center" wrapText="1"/>
    </xf>
    <xf numFmtId="9" fontId="2" fillId="3" borderId="2" xfId="0" applyNumberFormat="1" applyFont="1" applyFill="1" applyBorder="1" applyAlignment="1">
      <alignment wrapText="1"/>
    </xf>
    <xf numFmtId="0" fontId="60" fillId="0" borderId="0" xfId="0" applyFont="1" applyAlignment="1">
      <alignment horizontal="left" vertical="top" wrapText="1"/>
    </xf>
    <xf numFmtId="0" fontId="56" fillId="0" borderId="0" xfId="0" applyFont="1" applyAlignment="1">
      <alignment vertical="center" wrapText="1"/>
    </xf>
    <xf numFmtId="0" fontId="50" fillId="0" borderId="0" xfId="0" applyFont="1" applyAlignment="1">
      <alignment vertical="center" wrapText="1" indent="3"/>
    </xf>
    <xf numFmtId="0" fontId="56" fillId="0" borderId="0" xfId="0" applyFont="1" applyAlignment="1">
      <alignment vertical="center" wrapText="1" indent="3"/>
    </xf>
    <xf numFmtId="0" fontId="50" fillId="0" borderId="0" xfId="0" applyFont="1" applyAlignment="1">
      <alignment horizontal="left" vertical="center" wrapText="1" indent="3"/>
    </xf>
    <xf numFmtId="0" fontId="56" fillId="0" borderId="0" xfId="0" applyFont="1" applyAlignment="1">
      <alignment horizontal="left" vertical="center" wrapText="1" indent="3"/>
    </xf>
    <xf numFmtId="0" fontId="56" fillId="0" borderId="0" xfId="0" applyFont="1" applyAlignment="1">
      <alignment horizontal="left" vertical="center" wrapText="1"/>
    </xf>
    <xf numFmtId="0" fontId="56" fillId="0" borderId="0" xfId="0" applyFont="1" applyAlignment="1">
      <alignment horizontal="left" wrapText="1" indent="3"/>
    </xf>
    <xf numFmtId="217" fontId="1" fillId="5" borderId="2" xfId="0" applyNumberFormat="1" applyFont="1" applyFill="1" applyBorder="1" applyAlignment="1">
      <alignment vertical="center" wrapText="1"/>
    </xf>
    <xf numFmtId="9" fontId="1" fillId="3" borderId="2" xfId="0" applyNumberFormat="1" applyFont="1" applyFill="1" applyBorder="1" applyAlignment="1">
      <alignment horizontal="right" vertical="center" wrapText="1"/>
    </xf>
    <xf numFmtId="170" fontId="1" fillId="5" borderId="4" xfId="0" applyNumberFormat="1" applyFont="1" applyFill="1" applyBorder="1" applyAlignment="1">
      <alignment horizontal="right" vertical="center" wrapText="1"/>
    </xf>
    <xf numFmtId="170" fontId="2" fillId="3" borderId="8" xfId="0" applyNumberFormat="1" applyFont="1" applyFill="1" applyBorder="1" applyAlignment="1">
      <alignment horizontal="right" vertical="center" wrapText="1"/>
    </xf>
    <xf numFmtId="170" fontId="2" fillId="3" borderId="16" xfId="0" applyNumberFormat="1" applyFont="1" applyFill="1" applyBorder="1" applyAlignment="1">
      <alignment horizontal="right" vertical="center" wrapText="1"/>
    </xf>
    <xf numFmtId="173" fontId="2" fillId="3" borderId="2" xfId="0" applyNumberFormat="1" applyFont="1" applyFill="1" applyBorder="1" applyAlignment="1">
      <alignment horizontal="right" vertical="center" wrapText="1"/>
    </xf>
    <xf numFmtId="9" fontId="2" fillId="3" borderId="2" xfId="0" applyNumberFormat="1" applyFont="1" applyFill="1" applyBorder="1" applyAlignment="1">
      <alignment horizontal="right" vertical="center" wrapText="1"/>
    </xf>
    <xf numFmtId="9" fontId="2" fillId="3" borderId="2" xfId="0" applyNumberFormat="1" applyFont="1" applyFill="1" applyBorder="1" applyAlignment="1">
      <alignment vertical="center" wrapText="1"/>
    </xf>
    <xf numFmtId="9" fontId="2" fillId="0" borderId="2" xfId="0" applyNumberFormat="1" applyFont="1" applyBorder="1" applyAlignment="1">
      <alignment vertical="center" wrapText="1"/>
    </xf>
    <xf numFmtId="0" fontId="2" fillId="3" borderId="0" xfId="0" applyFont="1" applyFill="1" applyAlignment="1">
      <alignment wrapText="1"/>
    </xf>
    <xf numFmtId="0" fontId="6" fillId="3" borderId="0" xfId="0" applyFont="1" applyFill="1" applyAlignment="1">
      <alignment horizontal="left" vertical="top" wrapText="1"/>
    </xf>
    <xf numFmtId="0" fontId="3" fillId="5" borderId="2" xfId="0" applyFont="1" applyFill="1" applyBorder="1" applyAlignment="1">
      <alignment wrapText="1"/>
    </xf>
    <xf numFmtId="0" fontId="0" fillId="0" borderId="0" xfId="0"/>
    <xf numFmtId="165" fontId="1" fillId="0" borderId="2" xfId="0" applyNumberFormat="1" applyFont="1" applyBorder="1" applyAlignment="1">
      <alignment horizontal="left" wrapText="1"/>
    </xf>
    <xf numFmtId="0" fontId="6" fillId="3" borderId="0" xfId="0" applyFont="1" applyFill="1" applyBorder="1" applyAlignment="1">
      <alignment horizontal="left" vertical="top" wrapText="1"/>
    </xf>
    <xf numFmtId="0" fontId="0" fillId="0" borderId="16" xfId="0" applyBorder="1" applyAlignment="1">
      <alignment vertical="center" wrapText="1"/>
    </xf>
    <xf numFmtId="0" fontId="40" fillId="0" borderId="16" xfId="0" applyFont="1" applyBorder="1" applyAlignment="1">
      <alignment vertical="center" wrapText="1"/>
    </xf>
    <xf numFmtId="165" fontId="1" fillId="0" borderId="16" xfId="0" applyNumberFormat="1" applyFont="1" applyBorder="1" applyAlignment="1">
      <alignment horizontal="left" wrapText="1"/>
    </xf>
    <xf numFmtId="0" fontId="47" fillId="17" borderId="16" xfId="0" applyFont="1" applyFill="1" applyBorder="1" applyAlignment="1">
      <alignment horizontal="left" wrapText="1"/>
    </xf>
    <xf numFmtId="217" fontId="0" fillId="0" borderId="16" xfId="2" applyNumberFormat="1" applyFont="1" applyBorder="1" applyAlignment="1">
      <alignment vertical="center" wrapText="1"/>
    </xf>
    <xf numFmtId="0" fontId="20" fillId="3" borderId="0" xfId="0" applyFont="1" applyFill="1" applyBorder="1" applyAlignment="1">
      <alignment wrapText="1"/>
    </xf>
    <xf numFmtId="171" fontId="1" fillId="0" borderId="5" xfId="0" applyNumberFormat="1" applyFont="1" applyBorder="1" applyAlignment="1">
      <alignment horizontal="left" wrapText="1"/>
    </xf>
    <xf numFmtId="185" fontId="2" fillId="3" borderId="5" xfId="0" applyNumberFormat="1" applyFont="1" applyFill="1" applyBorder="1" applyAlignment="1">
      <alignment vertical="center" wrapText="1" indent="1"/>
    </xf>
    <xf numFmtId="0" fontId="1" fillId="0" borderId="5" xfId="0" applyFont="1" applyFill="1" applyBorder="1" applyAlignment="1">
      <alignment horizontal="left" vertical="center" wrapText="1" indent="1"/>
    </xf>
    <xf numFmtId="185" fontId="2" fillId="0" borderId="0" xfId="0" applyNumberFormat="1" applyFont="1" applyFill="1" applyBorder="1" applyAlignment="1">
      <alignment vertical="center" wrapText="1" indent="1"/>
    </xf>
    <xf numFmtId="185" fontId="1" fillId="0" borderId="0" xfId="0" applyNumberFormat="1" applyFont="1" applyFill="1" applyBorder="1" applyAlignment="1">
      <alignment vertical="center" wrapText="1"/>
    </xf>
    <xf numFmtId="0" fontId="1" fillId="0" borderId="0" xfId="0" applyFont="1" applyFill="1" applyBorder="1" applyAlignment="1">
      <alignment horizontal="left" vertical="center" wrapText="1" indent="1"/>
    </xf>
    <xf numFmtId="185" fontId="2" fillId="0" borderId="0" xfId="0" applyNumberFormat="1" applyFont="1" applyFill="1" applyBorder="1" applyAlignment="1">
      <alignment vertical="center" wrapText="1"/>
    </xf>
    <xf numFmtId="185" fontId="1" fillId="0" borderId="0" xfId="0" applyNumberFormat="1" applyFont="1" applyFill="1" applyBorder="1" applyAlignment="1">
      <alignment vertical="center" wrapText="1" indent="1"/>
    </xf>
    <xf numFmtId="185" fontId="2" fillId="3" borderId="0" xfId="0" applyNumberFormat="1" applyFont="1" applyFill="1" applyBorder="1" applyAlignment="1">
      <alignment vertical="center" wrapText="1" indent="1"/>
    </xf>
    <xf numFmtId="185" fontId="2" fillId="0" borderId="4" xfId="0" applyNumberFormat="1" applyFont="1" applyBorder="1" applyAlignment="1">
      <alignment vertical="center" wrapText="1" indent="1"/>
    </xf>
    <xf numFmtId="185" fontId="2" fillId="3" borderId="4" xfId="0" applyNumberFormat="1" applyFont="1" applyFill="1" applyBorder="1" applyAlignment="1">
      <alignment vertical="center" wrapText="1" indent="1"/>
    </xf>
    <xf numFmtId="185" fontId="2" fillId="0" borderId="16" xfId="0" applyNumberFormat="1" applyFont="1" applyBorder="1" applyAlignment="1">
      <alignment vertical="center" wrapText="1" indent="1"/>
    </xf>
    <xf numFmtId="185" fontId="2" fillId="3" borderId="16" xfId="0" applyNumberFormat="1" applyFont="1" applyFill="1" applyBorder="1" applyAlignment="1">
      <alignment vertical="center" wrapText="1" indent="1"/>
    </xf>
    <xf numFmtId="185" fontId="1" fillId="0" borderId="16" xfId="0" applyNumberFormat="1" applyFont="1" applyBorder="1" applyAlignment="1">
      <alignment vertical="center" wrapText="1"/>
    </xf>
    <xf numFmtId="0" fontId="2" fillId="3" borderId="16" xfId="0" applyFont="1" applyFill="1" applyBorder="1" applyAlignment="1">
      <alignment vertical="center" wrapText="1"/>
    </xf>
    <xf numFmtId="185" fontId="2" fillId="3" borderId="16" xfId="0" applyNumberFormat="1" applyFont="1" applyFill="1" applyBorder="1" applyAlignment="1">
      <alignment vertical="center" wrapText="1"/>
    </xf>
    <xf numFmtId="185" fontId="1" fillId="3" borderId="16" xfId="0" applyNumberFormat="1" applyFont="1" applyFill="1" applyBorder="1" applyAlignment="1">
      <alignment vertical="center" wrapText="1"/>
    </xf>
    <xf numFmtId="185" fontId="1" fillId="0" borderId="16" xfId="0" applyNumberFormat="1" applyFont="1" applyBorder="1" applyAlignment="1">
      <alignment vertical="center" wrapText="1" indent="1"/>
    </xf>
    <xf numFmtId="185" fontId="1" fillId="5" borderId="16" xfId="0" applyNumberFormat="1" applyFont="1" applyFill="1" applyBorder="1" applyAlignment="1">
      <alignment vertical="center" wrapText="1" indent="1"/>
    </xf>
    <xf numFmtId="0" fontId="2" fillId="3" borderId="0" xfId="0" applyFont="1" applyFill="1" applyAlignment="1">
      <alignment wrapText="1"/>
    </xf>
    <xf numFmtId="0" fontId="4" fillId="0" borderId="0" xfId="0" applyFont="1" applyAlignment="1">
      <alignment wrapText="1"/>
    </xf>
    <xf numFmtId="0" fontId="0" fillId="0" borderId="0" xfId="0"/>
    <xf numFmtId="218" fontId="2" fillId="3" borderId="2" xfId="0" applyNumberFormat="1" applyFont="1" applyFill="1" applyBorder="1" applyAlignment="1">
      <alignment horizontal="right" wrapText="1"/>
    </xf>
    <xf numFmtId="0" fontId="49" fillId="0" borderId="0" xfId="0" applyFont="1" applyFill="1" applyAlignment="1">
      <alignment wrapText="1"/>
    </xf>
    <xf numFmtId="0" fontId="2" fillId="3" borderId="2" xfId="0" applyFont="1" applyFill="1" applyBorder="1" applyAlignment="1">
      <alignment wrapText="1"/>
    </xf>
    <xf numFmtId="0" fontId="1" fillId="3" borderId="2" xfId="0" applyFont="1" applyFill="1" applyBorder="1" applyAlignment="1">
      <alignment wrapText="1"/>
    </xf>
    <xf numFmtId="0" fontId="6" fillId="3" borderId="6" xfId="0" applyFont="1" applyFill="1" applyBorder="1" applyAlignment="1">
      <alignment vertical="top" wrapText="1"/>
    </xf>
    <xf numFmtId="0" fontId="6" fillId="3" borderId="0" xfId="0" applyFont="1" applyFill="1" applyAlignment="1">
      <alignment vertical="top" wrapText="1"/>
    </xf>
    <xf numFmtId="0" fontId="2" fillId="3" borderId="0" xfId="0" applyFont="1" applyFill="1" applyAlignment="1">
      <alignment wrapText="1"/>
    </xf>
    <xf numFmtId="0" fontId="6" fillId="3" borderId="6" xfId="0" applyFont="1" applyFill="1" applyBorder="1" applyAlignment="1">
      <alignment horizontal="left" vertical="top" wrapText="1"/>
    </xf>
    <xf numFmtId="0" fontId="2" fillId="0" borderId="2" xfId="0" applyFont="1" applyBorder="1" applyAlignment="1">
      <alignment wrapText="1"/>
    </xf>
    <xf numFmtId="0" fontId="2" fillId="0" borderId="4" xfId="0" applyFont="1" applyBorder="1" applyAlignment="1">
      <alignment wrapText="1"/>
    </xf>
    <xf numFmtId="0" fontId="2" fillId="0" borderId="16" xfId="0" applyFont="1" applyBorder="1" applyAlignment="1">
      <alignment wrapText="1"/>
    </xf>
    <xf numFmtId="0" fontId="1" fillId="3" borderId="2" xfId="0" applyFont="1" applyFill="1" applyBorder="1" applyAlignment="1">
      <alignment horizontal="right" wrapText="1"/>
    </xf>
    <xf numFmtId="0" fontId="35" fillId="3" borderId="2" xfId="0" applyFont="1" applyFill="1" applyBorder="1" applyAlignment="1">
      <alignment wrapText="1"/>
    </xf>
    <xf numFmtId="0" fontId="37" fillId="3" borderId="6" xfId="0" applyFont="1" applyFill="1" applyBorder="1" applyAlignment="1">
      <alignment horizontal="left" vertical="top" wrapText="1"/>
    </xf>
    <xf numFmtId="0" fontId="6" fillId="3" borderId="0" xfId="0" applyFont="1" applyFill="1" applyAlignment="1">
      <alignment horizontal="left" vertical="top" wrapText="1"/>
    </xf>
    <xf numFmtId="0" fontId="37" fillId="3" borderId="6" xfId="0" applyFont="1" applyFill="1" applyBorder="1" applyAlignment="1">
      <alignment vertical="top" wrapText="1"/>
    </xf>
    <xf numFmtId="0" fontId="2" fillId="3" borderId="6" xfId="0" applyFont="1" applyFill="1" applyBorder="1" applyAlignment="1">
      <alignment wrapText="1"/>
    </xf>
    <xf numFmtId="0" fontId="47" fillId="5" borderId="2" xfId="0" applyFont="1" applyFill="1" applyBorder="1" applyAlignment="1">
      <alignment wrapText="1"/>
    </xf>
    <xf numFmtId="0" fontId="3" fillId="5" borderId="2" xfId="0" applyFont="1" applyFill="1" applyBorder="1" applyAlignment="1">
      <alignment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1" fillId="3" borderId="2" xfId="0" applyFont="1" applyFill="1" applyBorder="1" applyAlignment="1">
      <alignment horizontal="left" wrapText="1"/>
    </xf>
    <xf numFmtId="0" fontId="12" fillId="3" borderId="0" xfId="0" applyFont="1" applyFill="1" applyAlignment="1">
      <alignment vertical="center" wrapText="1"/>
    </xf>
    <xf numFmtId="0" fontId="49" fillId="0" borderId="0" xfId="0" applyFont="1" applyFill="1" applyAlignment="1">
      <alignment horizontal="left" wrapText="1"/>
    </xf>
    <xf numFmtId="0" fontId="47" fillId="4" borderId="10" xfId="0" applyFont="1" applyFill="1" applyBorder="1" applyAlignment="1">
      <alignment wrapText="1"/>
    </xf>
    <xf numFmtId="0" fontId="1" fillId="4" borderId="11" xfId="0" applyFont="1" applyFill="1" applyBorder="1" applyAlignment="1">
      <alignment wrapText="1"/>
    </xf>
    <xf numFmtId="0" fontId="1" fillId="4" borderId="12" xfId="0" applyFont="1" applyFill="1" applyBorder="1" applyAlignment="1">
      <alignment wrapText="1"/>
    </xf>
    <xf numFmtId="0" fontId="2" fillId="3" borderId="2" xfId="0" applyFont="1" applyFill="1" applyBorder="1" applyAlignment="1">
      <alignment vertical="center" wrapText="1"/>
    </xf>
    <xf numFmtId="0" fontId="35" fillId="3" borderId="2" xfId="0" applyFont="1" applyFill="1" applyBorder="1" applyAlignment="1">
      <alignment vertical="center" wrapText="1"/>
    </xf>
    <xf numFmtId="0" fontId="4" fillId="3" borderId="2" xfId="0" applyFont="1" applyFill="1" applyBorder="1" applyAlignment="1">
      <alignment vertical="center" wrapText="1"/>
    </xf>
    <xf numFmtId="0" fontId="1" fillId="3" borderId="10" xfId="0" applyFont="1" applyFill="1" applyBorder="1" applyAlignment="1">
      <alignment horizontal="right" vertical="center" wrapText="1"/>
    </xf>
    <xf numFmtId="0" fontId="1" fillId="3" borderId="12" xfId="0" applyFont="1" applyFill="1" applyBorder="1" applyAlignment="1">
      <alignment horizontal="right" vertical="center" wrapText="1"/>
    </xf>
    <xf numFmtId="0" fontId="37" fillId="0" borderId="6"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 fillId="3" borderId="10" xfId="0" applyFont="1" applyFill="1" applyBorder="1" applyAlignment="1">
      <alignment horizontal="right" vertical="top" wrapText="1"/>
    </xf>
    <xf numFmtId="0" fontId="1" fillId="3" borderId="12" xfId="0" applyFont="1" applyFill="1" applyBorder="1" applyAlignment="1">
      <alignment horizontal="right" vertical="top"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wrapText="1"/>
    </xf>
    <xf numFmtId="0" fontId="4" fillId="0" borderId="6" xfId="0" applyFont="1" applyBorder="1" applyAlignment="1">
      <alignment wrapText="1"/>
    </xf>
    <xf numFmtId="0" fontId="4" fillId="0" borderId="13"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4" fillId="0" borderId="7"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6" xfId="0" applyFont="1" applyBorder="1" applyAlignment="1">
      <alignment vertical="top" wrapText="1"/>
    </xf>
    <xf numFmtId="0" fontId="0" fillId="0" borderId="0" xfId="0"/>
    <xf numFmtId="0" fontId="40" fillId="5" borderId="10" xfId="0" applyFont="1" applyFill="1" applyBorder="1" applyAlignment="1">
      <alignment wrapText="1"/>
    </xf>
    <xf numFmtId="0" fontId="3" fillId="5" borderId="11" xfId="0" applyFont="1" applyFill="1" applyBorder="1" applyAlignment="1">
      <alignment wrapText="1"/>
    </xf>
    <xf numFmtId="0" fontId="3" fillId="5" borderId="12" xfId="0" applyFont="1" applyFill="1" applyBorder="1" applyAlignment="1">
      <alignment wrapText="1"/>
    </xf>
    <xf numFmtId="166" fontId="4" fillId="0" borderId="4" xfId="0" applyNumberFormat="1" applyFont="1" applyBorder="1" applyAlignment="1">
      <alignment wrapText="1"/>
    </xf>
    <xf numFmtId="0" fontId="4" fillId="0" borderId="3" xfId="0" applyFont="1" applyBorder="1" applyAlignment="1">
      <alignment wrapText="1"/>
    </xf>
    <xf numFmtId="0" fontId="4" fillId="0" borderId="8" xfId="0" applyFont="1" applyBorder="1" applyAlignment="1">
      <alignment wrapText="1"/>
    </xf>
    <xf numFmtId="0" fontId="4" fillId="0" borderId="4" xfId="0" applyFont="1" applyBorder="1" applyAlignment="1">
      <alignment wrapText="1"/>
    </xf>
    <xf numFmtId="0" fontId="14" fillId="0" borderId="0" xfId="0" applyFont="1" applyFill="1" applyAlignment="1">
      <alignment horizontal="left" wrapText="1"/>
    </xf>
    <xf numFmtId="0" fontId="1" fillId="3" borderId="8"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4" fillId="0" borderId="0" xfId="0" applyFont="1" applyFill="1" applyAlignment="1">
      <alignment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6" fillId="0" borderId="6" xfId="0" applyFont="1" applyBorder="1" applyAlignment="1">
      <alignment vertical="top" wrapText="1"/>
    </xf>
    <xf numFmtId="0" fontId="6" fillId="0" borderId="0" xfId="0" applyFont="1" applyAlignment="1">
      <alignment vertical="top" wrapText="1"/>
    </xf>
    <xf numFmtId="0" fontId="45" fillId="0" borderId="6" xfId="0" applyFont="1" applyBorder="1" applyAlignment="1">
      <alignment vertical="top" wrapText="1"/>
    </xf>
    <xf numFmtId="0" fontId="45" fillId="0" borderId="0" xfId="0" applyFont="1" applyAlignment="1">
      <alignment vertical="top" wrapText="1"/>
    </xf>
    <xf numFmtId="0" fontId="45" fillId="0" borderId="0" xfId="0" applyFont="1"/>
    <xf numFmtId="0" fontId="22" fillId="0" borderId="0" xfId="0" applyFont="1" applyFill="1" applyAlignment="1">
      <alignment wrapText="1"/>
    </xf>
    <xf numFmtId="0" fontId="1" fillId="3" borderId="2" xfId="0" applyFont="1" applyFill="1" applyBorder="1" applyAlignment="1">
      <alignment vertical="center" wrapText="1"/>
    </xf>
    <xf numFmtId="0" fontId="4" fillId="3" borderId="6" xfId="0" applyFont="1" applyFill="1" applyBorder="1" applyAlignment="1">
      <alignment wrapText="1"/>
    </xf>
    <xf numFmtId="0" fontId="4" fillId="3" borderId="0" xfId="0" applyFont="1" applyFill="1" applyAlignment="1">
      <alignment wrapText="1"/>
    </xf>
    <xf numFmtId="0" fontId="2" fillId="3" borderId="16" xfId="0" applyFont="1" applyFill="1" applyBorder="1" applyAlignment="1">
      <alignment horizontal="left" vertical="center" wrapText="1" indent="4"/>
    </xf>
    <xf numFmtId="0" fontId="1" fillId="5" borderId="16" xfId="0" applyFont="1" applyFill="1" applyBorder="1" applyAlignment="1">
      <alignment vertical="center" wrapText="1"/>
    </xf>
    <xf numFmtId="0" fontId="1" fillId="0" borderId="16" xfId="0" applyFont="1" applyBorder="1" applyAlignment="1">
      <alignment horizontal="left" vertical="center" wrapText="1" indent="1"/>
    </xf>
    <xf numFmtId="0" fontId="6" fillId="3" borderId="0" xfId="0" applyFont="1" applyFill="1" applyBorder="1" applyAlignment="1">
      <alignment horizontal="left" vertical="top" wrapText="1"/>
    </xf>
    <xf numFmtId="0" fontId="1" fillId="5" borderId="16" xfId="0" applyFont="1" applyFill="1" applyBorder="1" applyAlignment="1">
      <alignment horizontal="left" vertical="center" wrapText="1" indent="1"/>
    </xf>
    <xf numFmtId="0" fontId="1" fillId="3" borderId="16" xfId="0" applyFont="1" applyFill="1" applyBorder="1" applyAlignment="1">
      <alignment horizontal="left" vertical="center" wrapText="1" indent="2"/>
    </xf>
    <xf numFmtId="0" fontId="1" fillId="2" borderId="2" xfId="0" applyFont="1" applyFill="1" applyBorder="1" applyAlignment="1">
      <alignment horizontal="left" wrapText="1"/>
    </xf>
    <xf numFmtId="0" fontId="2" fillId="3" borderId="4" xfId="0" applyFont="1" applyFill="1" applyBorder="1" applyAlignment="1">
      <alignment horizontal="left" vertical="center" wrapText="1" indent="4"/>
    </xf>
    <xf numFmtId="0" fontId="1" fillId="5" borderId="2" xfId="0" applyFont="1" applyFill="1" applyBorder="1" applyAlignment="1">
      <alignment horizontal="left" vertical="center" wrapText="1" indent="1"/>
    </xf>
    <xf numFmtId="0" fontId="45" fillId="0" borderId="0" xfId="0" applyFont="1" applyBorder="1" applyAlignment="1">
      <alignment vertical="top"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8" xfId="0" applyFont="1" applyFill="1" applyBorder="1" applyAlignment="1">
      <alignment vertical="center" wrapText="1"/>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1" fillId="4" borderId="12" xfId="0" applyFont="1" applyFill="1" applyBorder="1" applyAlignment="1">
      <alignment vertical="center" wrapText="1"/>
    </xf>
    <xf numFmtId="0" fontId="1" fillId="5" borderId="2" xfId="0" applyFont="1" applyFill="1" applyBorder="1" applyAlignment="1">
      <alignment horizontal="left" wrapText="1"/>
    </xf>
    <xf numFmtId="0" fontId="47" fillId="5" borderId="2" xfId="0" applyFont="1" applyFill="1" applyBorder="1" applyAlignment="1">
      <alignment horizontal="left" wrapText="1"/>
    </xf>
    <xf numFmtId="0" fontId="47" fillId="3" borderId="2" xfId="0" applyFont="1" applyFill="1" applyBorder="1" applyAlignment="1">
      <alignment horizontal="left" wrapText="1"/>
    </xf>
    <xf numFmtId="0" fontId="2" fillId="3" borderId="10" xfId="0" applyFont="1" applyFill="1" applyBorder="1" applyAlignment="1">
      <alignment horizontal="center" wrapText="1"/>
    </xf>
    <xf numFmtId="0" fontId="2" fillId="3" borderId="11" xfId="0" applyFont="1" applyFill="1" applyBorder="1" applyAlignment="1">
      <alignment wrapText="1"/>
    </xf>
    <xf numFmtId="0" fontId="2" fillId="3" borderId="12" xfId="0" applyFont="1" applyFill="1" applyBorder="1" applyAlignment="1">
      <alignment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7" fillId="5" borderId="2" xfId="0" applyFont="1" applyFill="1" applyBorder="1" applyAlignment="1">
      <alignment horizontal="center" wrapText="1"/>
    </xf>
    <xf numFmtId="0" fontId="2" fillId="0" borderId="1" xfId="0" applyFont="1" applyBorder="1" applyAlignment="1">
      <alignment vertical="center" wrapText="1"/>
    </xf>
    <xf numFmtId="0" fontId="1" fillId="3" borderId="2" xfId="0" applyFont="1" applyFill="1" applyBorder="1" applyAlignment="1">
      <alignment horizontal="center" wrapText="1"/>
    </xf>
    <xf numFmtId="0" fontId="2" fillId="0" borderId="2" xfId="0" applyFont="1" applyBorder="1" applyAlignment="1">
      <alignment vertical="center" wrapText="1"/>
    </xf>
    <xf numFmtId="0" fontId="1" fillId="5" borderId="10" xfId="0" applyFont="1" applyFill="1" applyBorder="1" applyAlignment="1">
      <alignment wrapText="1"/>
    </xf>
    <xf numFmtId="0" fontId="1" fillId="5" borderId="11" xfId="0" applyFont="1" applyFill="1" applyBorder="1" applyAlignment="1">
      <alignment wrapText="1"/>
    </xf>
    <xf numFmtId="0" fontId="1" fillId="5" borderId="12" xfId="0" applyFont="1" applyFill="1" applyBorder="1" applyAlignment="1">
      <alignment wrapText="1"/>
    </xf>
    <xf numFmtId="0" fontId="2" fillId="3" borderId="9" xfId="0" applyFont="1" applyFill="1" applyBorder="1" applyAlignment="1">
      <alignment vertical="center" wrapText="1"/>
    </xf>
    <xf numFmtId="0" fontId="2" fillId="3" borderId="6"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 xfId="0" applyFont="1" applyFill="1" applyBorder="1" applyAlignment="1">
      <alignment vertical="center" wrapText="1"/>
    </xf>
    <xf numFmtId="0" fontId="2" fillId="3" borderId="15" xfId="0" applyFont="1" applyFill="1" applyBorder="1" applyAlignment="1">
      <alignment vertical="center" wrapText="1"/>
    </xf>
    <xf numFmtId="165" fontId="1" fillId="0" borderId="2" xfId="0" applyNumberFormat="1" applyFont="1" applyBorder="1" applyAlignment="1">
      <alignment horizontal="left" wrapText="1"/>
    </xf>
    <xf numFmtId="0" fontId="1" fillId="0" borderId="2" xfId="0" applyFont="1" applyBorder="1" applyAlignment="1">
      <alignment horizontal="left" wrapText="1"/>
    </xf>
    <xf numFmtId="165" fontId="3" fillId="0" borderId="2" xfId="0" applyNumberFormat="1" applyFont="1" applyBorder="1" applyAlignment="1">
      <alignment horizontal="left" wrapText="1"/>
    </xf>
    <xf numFmtId="0" fontId="3" fillId="0" borderId="2" xfId="0" applyFont="1" applyBorder="1" applyAlignment="1">
      <alignment horizontal="left" wrapText="1"/>
    </xf>
    <xf numFmtId="0" fontId="37" fillId="3" borderId="0" xfId="0" applyFont="1" applyFill="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top" wrapText="1"/>
    </xf>
    <xf numFmtId="0" fontId="45" fillId="0" borderId="6" xfId="0" applyFont="1" applyBorder="1" applyAlignment="1">
      <alignment horizontal="left" vertical="top" wrapText="1"/>
    </xf>
    <xf numFmtId="0" fontId="45" fillId="0" borderId="0" xfId="0" applyFont="1" applyAlignment="1">
      <alignment horizontal="left" vertical="top" wrapText="1"/>
    </xf>
    <xf numFmtId="0" fontId="13" fillId="0" borderId="6"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13" fillId="0" borderId="6" xfId="0" applyFont="1" applyBorder="1" applyAlignment="1">
      <alignment wrapText="1"/>
    </xf>
    <xf numFmtId="0" fontId="13" fillId="0" borderId="0" xfId="0" applyFont="1" applyAlignment="1">
      <alignment wrapText="1"/>
    </xf>
    <xf numFmtId="0" fontId="13" fillId="0" borderId="6" xfId="0" applyFont="1" applyBorder="1" applyAlignment="1">
      <alignment horizontal="left" wrapText="1"/>
    </xf>
    <xf numFmtId="0" fontId="1" fillId="3" borderId="9" xfId="0" applyFont="1" applyFill="1" applyBorder="1" applyAlignment="1">
      <alignment horizontal="left" wrapText="1"/>
    </xf>
    <xf numFmtId="0" fontId="1" fillId="3" borderId="6" xfId="0" applyFont="1" applyFill="1" applyBorder="1" applyAlignment="1">
      <alignment horizontal="left" wrapText="1"/>
    </xf>
    <xf numFmtId="0" fontId="1" fillId="3" borderId="13" xfId="0" applyFont="1" applyFill="1" applyBorder="1" applyAlignment="1">
      <alignment horizontal="left" wrapText="1"/>
    </xf>
    <xf numFmtId="0" fontId="1" fillId="3" borderId="14" xfId="0" applyFont="1" applyFill="1" applyBorder="1" applyAlignment="1">
      <alignment horizontal="left" wrapText="1"/>
    </xf>
    <xf numFmtId="0" fontId="1" fillId="3" borderId="1" xfId="0" applyFont="1" applyFill="1" applyBorder="1" applyAlignment="1">
      <alignment horizontal="left" wrapText="1"/>
    </xf>
    <xf numFmtId="0" fontId="1" fillId="3" borderId="15" xfId="0" applyFont="1" applyFill="1" applyBorder="1" applyAlignment="1">
      <alignment horizontal="left" wrapText="1"/>
    </xf>
    <xf numFmtId="0" fontId="47" fillId="6" borderId="4" xfId="0" applyFont="1" applyFill="1" applyBorder="1" applyAlignment="1">
      <alignment wrapText="1"/>
    </xf>
    <xf numFmtId="0" fontId="1" fillId="6" borderId="3" xfId="0" applyFont="1" applyFill="1" applyBorder="1" applyAlignment="1">
      <alignment wrapText="1"/>
    </xf>
    <xf numFmtId="0" fontId="1" fillId="6" borderId="8" xfId="0" applyFont="1" applyFill="1" applyBorder="1" applyAlignment="1">
      <alignment wrapText="1"/>
    </xf>
    <xf numFmtId="0" fontId="54" fillId="0" borderId="0" xfId="0" applyFont="1" applyFill="1" applyAlignment="1">
      <alignment wrapText="1"/>
    </xf>
    <xf numFmtId="0" fontId="49" fillId="0" borderId="0" xfId="0" applyFont="1" applyFill="1" applyBorder="1" applyAlignment="1">
      <alignment wrapText="1"/>
    </xf>
    <xf numFmtId="0" fontId="2" fillId="0" borderId="2" xfId="0" applyFont="1" applyBorder="1" applyAlignment="1">
      <alignment horizontal="left" vertical="center" wrapText="1"/>
    </xf>
    <xf numFmtId="0" fontId="55" fillId="6" borderId="2" xfId="0" applyFont="1" applyFill="1" applyBorder="1" applyAlignment="1">
      <alignment horizontal="center" wrapText="1"/>
    </xf>
    <xf numFmtId="0" fontId="55" fillId="6" borderId="10" xfId="0" applyFont="1" applyFill="1" applyBorder="1" applyAlignment="1">
      <alignment horizontal="center" wrapText="1"/>
    </xf>
    <xf numFmtId="0" fontId="4" fillId="0" borderId="0" xfId="0" applyFont="1" applyAlignment="1">
      <alignment vertical="top" wrapText="1"/>
    </xf>
    <xf numFmtId="0" fontId="6" fillId="3" borderId="20" xfId="0" applyFont="1" applyFill="1" applyBorder="1" applyAlignment="1">
      <alignment vertical="top" wrapText="1"/>
    </xf>
    <xf numFmtId="0" fontId="2" fillId="3" borderId="20" xfId="0" applyFont="1" applyFill="1" applyBorder="1" applyAlignment="1">
      <alignment wrapText="1"/>
    </xf>
    <xf numFmtId="0" fontId="4" fillId="3" borderId="20" xfId="0" applyFont="1" applyFill="1" applyBorder="1" applyAlignment="1">
      <alignment wrapText="1"/>
    </xf>
    <xf numFmtId="0" fontId="6" fillId="15" borderId="0" xfId="0" applyFont="1" applyFill="1" applyBorder="1" applyAlignment="1">
      <alignment vertical="top" wrapText="1"/>
    </xf>
    <xf numFmtId="0" fontId="6" fillId="3" borderId="0" xfId="0" applyFont="1" applyFill="1" applyBorder="1" applyAlignment="1">
      <alignment vertical="top" wrapText="1"/>
    </xf>
    <xf numFmtId="0" fontId="1" fillId="3" borderId="4" xfId="0" applyFont="1" applyFill="1" applyBorder="1" applyAlignment="1">
      <alignment horizontal="left" wrapText="1"/>
    </xf>
    <xf numFmtId="0" fontId="1" fillId="3" borderId="8" xfId="0" applyFont="1" applyFill="1" applyBorder="1" applyAlignment="1">
      <alignment horizontal="left" wrapText="1"/>
    </xf>
    <xf numFmtId="0" fontId="47" fillId="5" borderId="4" xfId="0" applyFont="1" applyFill="1" applyBorder="1" applyAlignment="1">
      <alignment horizontal="left" wrapText="1"/>
    </xf>
    <xf numFmtId="0" fontId="1" fillId="5" borderId="8" xfId="0" applyFont="1" applyFill="1" applyBorder="1" applyAlignment="1">
      <alignment horizontal="left" wrapText="1"/>
    </xf>
    <xf numFmtId="0" fontId="2" fillId="3" borderId="4"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51" fillId="0" borderId="0" xfId="0" applyFont="1" applyFill="1" applyAlignment="1">
      <alignment wrapText="1"/>
    </xf>
    <xf numFmtId="0" fontId="57" fillId="0" borderId="0" xfId="0" applyFont="1" applyFill="1" applyAlignment="1">
      <alignment wrapText="1"/>
    </xf>
    <xf numFmtId="0" fontId="47" fillId="5" borderId="10" xfId="0" applyFont="1" applyFill="1" applyBorder="1" applyAlignment="1">
      <alignment vertical="center" wrapText="1"/>
    </xf>
    <xf numFmtId="0" fontId="3" fillId="5" borderId="12" xfId="0" applyFont="1" applyFill="1" applyBorder="1" applyAlignment="1">
      <alignment vertical="center" wrapText="1"/>
    </xf>
    <xf numFmtId="0" fontId="47" fillId="5" borderId="2" xfId="0" applyFont="1" applyFill="1" applyBorder="1" applyAlignment="1">
      <alignment horizontal="left" vertical="center" wrapText="1"/>
    </xf>
    <xf numFmtId="0" fontId="1" fillId="5" borderId="2" xfId="0" applyFont="1" applyFill="1" applyBorder="1" applyAlignment="1">
      <alignment horizontal="left" vertical="center" wrapText="1"/>
    </xf>
    <xf numFmtId="0" fontId="6" fillId="0" borderId="6" xfId="0" applyFont="1" applyBorder="1" applyAlignment="1">
      <alignment horizontal="left" vertical="top" wrapText="1"/>
    </xf>
    <xf numFmtId="0" fontId="2" fillId="0" borderId="6" xfId="0" applyFont="1" applyBorder="1" applyAlignment="1">
      <alignment wrapText="1"/>
    </xf>
    <xf numFmtId="0" fontId="1" fillId="5" borderId="2" xfId="0" applyFont="1" applyFill="1" applyBorder="1" applyAlignment="1">
      <alignment wrapText="1"/>
    </xf>
    <xf numFmtId="165" fontId="3" fillId="0" borderId="10" xfId="0" applyNumberFormat="1" applyFont="1" applyBorder="1" applyAlignment="1">
      <alignment wrapText="1"/>
    </xf>
    <xf numFmtId="0" fontId="3" fillId="0" borderId="12" xfId="0" applyFont="1" applyBorder="1" applyAlignment="1">
      <alignment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47" fillId="5" borderId="10"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4" fillId="0" borderId="0" xfId="0" applyFont="1" applyFill="1" applyAlignment="1">
      <alignment vertical="center" wrapText="1"/>
    </xf>
    <xf numFmtId="0" fontId="1" fillId="0" borderId="0" xfId="0" applyFont="1" applyFill="1" applyAlignment="1">
      <alignment wrapText="1"/>
    </xf>
    <xf numFmtId="0" fontId="47" fillId="6" borderId="2" xfId="0" applyFont="1" applyFill="1" applyBorder="1" applyAlignment="1">
      <alignment wrapText="1"/>
    </xf>
    <xf numFmtId="0" fontId="1" fillId="6" borderId="2" xfId="0" applyFont="1" applyFill="1" applyBorder="1" applyAlignment="1">
      <alignment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47" fillId="6" borderId="10" xfId="0" applyFont="1" applyFill="1" applyBorder="1" applyAlignment="1">
      <alignment wrapText="1"/>
    </xf>
    <xf numFmtId="0" fontId="1" fillId="6" borderId="11" xfId="0" applyFont="1" applyFill="1" applyBorder="1" applyAlignment="1">
      <alignment wrapText="1"/>
    </xf>
    <xf numFmtId="0" fontId="1" fillId="6" borderId="12" xfId="0" applyFont="1" applyFill="1" applyBorder="1" applyAlignment="1">
      <alignment wrapText="1"/>
    </xf>
    <xf numFmtId="0" fontId="49" fillId="0" borderId="0" xfId="0" applyFont="1" applyFill="1" applyAlignment="1">
      <alignment vertical="center" wrapText="1"/>
    </xf>
    <xf numFmtId="0" fontId="45" fillId="0" borderId="6" xfId="0" applyFont="1" applyBorder="1" applyAlignment="1">
      <alignment horizontal="left" wrapText="1"/>
    </xf>
    <xf numFmtId="0" fontId="41" fillId="0" borderId="0" xfId="0" applyFont="1" applyBorder="1" applyAlignment="1">
      <alignment vertical="top" wrapText="1"/>
    </xf>
    <xf numFmtId="0" fontId="0" fillId="0" borderId="0" xfId="0" applyBorder="1"/>
    <xf numFmtId="0" fontId="47" fillId="3" borderId="2"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15875</xdr:colOff>
      <xdr:row>0</xdr:row>
      <xdr:rowOff>2416969</xdr:rowOff>
    </xdr:to>
    <xdr:pic>
      <xdr:nvPicPr>
        <xdr:cNvPr id="2" name="Picture 1">
          <a:extLst>
            <a:ext uri="{FF2B5EF4-FFF2-40B4-BE49-F238E27FC236}">
              <a16:creationId xmlns:a16="http://schemas.microsoft.com/office/drawing/2014/main" id="{26C1D39D-1B40-40C2-87F6-D9F4E2D5B3D1}"/>
            </a:ext>
          </a:extLst>
        </xdr:cNvPr>
        <xdr:cNvPicPr>
          <a:picLocks noChangeAspect="1"/>
        </xdr:cNvPicPr>
      </xdr:nvPicPr>
      <xdr:blipFill>
        <a:blip xmlns:r="http://schemas.openxmlformats.org/officeDocument/2006/relationships" r:embed="rId1"/>
        <a:stretch>
          <a:fillRect/>
        </a:stretch>
      </xdr:blipFill>
      <xdr:spPr>
        <a:xfrm>
          <a:off x="916781" y="0"/>
          <a:ext cx="9957594" cy="2416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F6827-CC76-4545-AE7E-99D2AE0365F5}">
  <dimension ref="B1:B26"/>
  <sheetViews>
    <sheetView tabSelected="1" zoomScale="90" zoomScaleNormal="90" workbookViewId="0">
      <selection activeCell="C2" sqref="C2"/>
    </sheetView>
  </sheetViews>
  <sheetFormatPr defaultColWidth="13.7109375" defaultRowHeight="12.75" x14ac:dyDescent="0.2"/>
  <cols>
    <col min="2" max="2" width="149.140625" customWidth="1"/>
  </cols>
  <sheetData>
    <row r="1" spans="2:2" ht="191.25" customHeight="1" x14ac:dyDescent="0.2"/>
    <row r="2" spans="2:2" s="429" customFormat="1" ht="60" x14ac:dyDescent="0.2">
      <c r="B2" s="508" t="s">
        <v>1288</v>
      </c>
    </row>
    <row r="3" spans="2:2" ht="15.75" x14ac:dyDescent="0.25">
      <c r="B3" s="430" t="s">
        <v>1129</v>
      </c>
    </row>
    <row r="4" spans="2:2" ht="302.25" customHeight="1" x14ac:dyDescent="0.2">
      <c r="B4" s="515" t="s">
        <v>1275</v>
      </c>
    </row>
    <row r="5" spans="2:2" x14ac:dyDescent="0.2">
      <c r="B5" s="431"/>
    </row>
    <row r="6" spans="2:2" ht="15.75" x14ac:dyDescent="0.25">
      <c r="B6" s="430" t="s">
        <v>1130</v>
      </c>
    </row>
    <row r="7" spans="2:2" s="432" customFormat="1" ht="15" customHeight="1" x14ac:dyDescent="0.2">
      <c r="B7" s="509" t="s">
        <v>1125</v>
      </c>
    </row>
    <row r="8" spans="2:2" ht="23.25" customHeight="1" x14ac:dyDescent="0.2">
      <c r="B8" s="510" t="s">
        <v>1265</v>
      </c>
    </row>
    <row r="9" spans="2:2" ht="40.5" customHeight="1" x14ac:dyDescent="0.2">
      <c r="B9" s="511" t="s">
        <v>1266</v>
      </c>
    </row>
    <row r="10" spans="2:2" ht="23.25" customHeight="1" x14ac:dyDescent="0.2">
      <c r="B10" s="510" t="s">
        <v>1267</v>
      </c>
    </row>
    <row r="11" spans="2:2" ht="49.5" customHeight="1" x14ac:dyDescent="0.2">
      <c r="B11" s="510" t="s">
        <v>1268</v>
      </c>
    </row>
    <row r="12" spans="2:2" ht="37.5" customHeight="1" x14ac:dyDescent="0.2">
      <c r="B12" s="510" t="s">
        <v>1269</v>
      </c>
    </row>
    <row r="13" spans="2:2" ht="40.5" customHeight="1" x14ac:dyDescent="0.2">
      <c r="B13" s="510" t="s">
        <v>1270</v>
      </c>
    </row>
    <row r="14" spans="2:2" ht="24" customHeight="1" x14ac:dyDescent="0.25">
      <c r="B14" s="430" t="s">
        <v>1126</v>
      </c>
    </row>
    <row r="15" spans="2:2" ht="37.5" customHeight="1" x14ac:dyDescent="0.2">
      <c r="B15" s="512" t="s">
        <v>1271</v>
      </c>
    </row>
    <row r="16" spans="2:2" ht="21" customHeight="1" x14ac:dyDescent="0.2">
      <c r="B16" s="513" t="s">
        <v>1272</v>
      </c>
    </row>
    <row r="17" spans="2:2" ht="69" customHeight="1" x14ac:dyDescent="0.2">
      <c r="B17" s="512" t="s">
        <v>1273</v>
      </c>
    </row>
    <row r="18" spans="2:2" ht="19.5" customHeight="1" x14ac:dyDescent="0.25">
      <c r="B18" s="430" t="s">
        <v>1127</v>
      </c>
    </row>
    <row r="19" spans="2:2" s="433" customFormat="1" ht="370.5" customHeight="1" x14ac:dyDescent="0.2">
      <c r="B19" s="513" t="s">
        <v>1276</v>
      </c>
    </row>
    <row r="20" spans="2:2" s="432" customFormat="1" ht="22.5" customHeight="1" x14ac:dyDescent="0.2">
      <c r="B20" s="434" t="s">
        <v>1128</v>
      </c>
    </row>
    <row r="21" spans="2:2" s="432" customFormat="1" ht="31.5" customHeight="1" x14ac:dyDescent="0.2">
      <c r="B21" s="514" t="s">
        <v>1274</v>
      </c>
    </row>
    <row r="22" spans="2:2" x14ac:dyDescent="0.2">
      <c r="B22" s="431"/>
    </row>
    <row r="23" spans="2:2" x14ac:dyDescent="0.2">
      <c r="B23" s="431"/>
    </row>
    <row r="24" spans="2:2" x14ac:dyDescent="0.2">
      <c r="B24" s="431"/>
    </row>
    <row r="25" spans="2:2" x14ac:dyDescent="0.2">
      <c r="B25" s="431"/>
    </row>
    <row r="26" spans="2:2" x14ac:dyDescent="0.2">
      <c r="B26" s="431"/>
    </row>
  </sheetData>
  <sheetProtection algorithmName="SHA-512" hashValue="COSoO36fY1KWnx9/i4Ah+YYSuwJV1XnIvMcHG2irMKqLCFDqo7HrYpq/FXs9ojYr1AjM3zjMxw5NE2xXuEl9+A==" saltValue="xmGncUhDeaaF4j9xueESP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93F-F30E-4D24-96E6-293E1ED9AFAB}">
  <dimension ref="A1:H49"/>
  <sheetViews>
    <sheetView showGridLines="0" showRuler="0" workbookViewId="0">
      <selection activeCell="G7" sqref="G7"/>
    </sheetView>
  </sheetViews>
  <sheetFormatPr defaultColWidth="13.140625" defaultRowHeight="12.75" x14ac:dyDescent="0.2"/>
  <cols>
    <col min="1" max="1" width="27.85546875" style="558" customWidth="1"/>
    <col min="2" max="2" width="22.140625" style="558" customWidth="1"/>
    <col min="3" max="4" width="14.140625" style="558" customWidth="1"/>
    <col min="5" max="5" width="14.85546875" style="558" customWidth="1"/>
    <col min="6" max="6" width="14.140625" style="558" customWidth="1"/>
    <col min="7" max="7" width="10.42578125" customWidth="1"/>
    <col min="9" max="16384" width="13.140625" style="558"/>
  </cols>
  <sheetData>
    <row r="1" spans="1:8" ht="17.45" customHeight="1" x14ac:dyDescent="0.25">
      <c r="A1" s="583" t="s">
        <v>1285</v>
      </c>
      <c r="B1" s="583"/>
      <c r="C1" s="583"/>
      <c r="D1" s="583"/>
      <c r="E1" s="583"/>
      <c r="F1" s="556"/>
    </row>
    <row r="2" spans="1:8" x14ac:dyDescent="0.2">
      <c r="A2" s="556"/>
      <c r="B2" s="556"/>
      <c r="C2" s="556"/>
      <c r="D2" s="556"/>
      <c r="E2" s="556"/>
      <c r="F2"/>
    </row>
    <row r="3" spans="1:8" x14ac:dyDescent="0.2">
      <c r="A3" s="24"/>
      <c r="B3" s="24"/>
      <c r="C3" s="24"/>
      <c r="D3" s="24"/>
      <c r="E3" s="24"/>
      <c r="F3"/>
    </row>
    <row r="4" spans="1:8" ht="75.75" customHeight="1" x14ac:dyDescent="0.2">
      <c r="A4" s="653" t="s">
        <v>1287</v>
      </c>
      <c r="B4" s="652"/>
      <c r="C4" s="37">
        <v>2018</v>
      </c>
      <c r="D4" s="37">
        <v>2019</v>
      </c>
      <c r="E4" s="37">
        <v>2020</v>
      </c>
      <c r="F4"/>
      <c r="H4" s="558"/>
    </row>
    <row r="5" spans="1:8" ht="21.6" customHeight="1" x14ac:dyDescent="0.2">
      <c r="A5" s="654" t="s">
        <v>1286</v>
      </c>
      <c r="B5" s="581"/>
      <c r="C5" s="559">
        <v>42.5</v>
      </c>
      <c r="D5" s="559">
        <v>34.5</v>
      </c>
      <c r="E5" s="559">
        <v>58</v>
      </c>
      <c r="F5"/>
      <c r="H5" s="558"/>
    </row>
    <row r="6" spans="1:8" ht="28.35" customHeight="1" x14ac:dyDescent="0.2">
      <c r="A6" s="563"/>
      <c r="B6" s="575"/>
      <c r="C6" s="575"/>
      <c r="D6" s="575"/>
      <c r="E6" s="575"/>
      <c r="F6"/>
    </row>
    <row r="7" spans="1:8" ht="26.65" customHeight="1" x14ac:dyDescent="0.2">
      <c r="A7" s="556"/>
      <c r="B7" s="556"/>
      <c r="C7" s="556"/>
      <c r="D7" s="556"/>
      <c r="E7" s="556"/>
      <c r="F7" s="556"/>
    </row>
    <row r="8" spans="1:8" ht="32.450000000000003" customHeight="1" x14ac:dyDescent="0.2">
      <c r="A8" s="557"/>
      <c r="B8" s="557"/>
      <c r="C8" s="557"/>
      <c r="D8" s="557"/>
      <c r="E8" s="557"/>
      <c r="F8" s="557"/>
    </row>
    <row r="9" spans="1:8" ht="21.6" customHeight="1" x14ac:dyDescent="0.2">
      <c r="A9" s="557"/>
      <c r="B9" s="557"/>
      <c r="C9" s="557"/>
      <c r="D9" s="557"/>
      <c r="E9" s="557"/>
      <c r="F9" s="557"/>
    </row>
    <row r="10" spans="1:8" ht="21.6" customHeight="1" x14ac:dyDescent="0.2">
      <c r="B10" s="557"/>
      <c r="C10" s="557"/>
      <c r="D10" s="557"/>
      <c r="E10" s="557"/>
      <c r="F10" s="557"/>
    </row>
    <row r="11" spans="1:8" ht="21.6" customHeight="1" x14ac:dyDescent="0.2">
      <c r="B11" s="557"/>
      <c r="C11" s="557"/>
      <c r="D11" s="557"/>
      <c r="E11" s="557"/>
      <c r="F11" s="557"/>
    </row>
    <row r="12" spans="1:8" ht="21.6" customHeight="1" x14ac:dyDescent="0.2">
      <c r="A12" s="557"/>
      <c r="B12" s="557"/>
      <c r="C12" s="557"/>
      <c r="D12" s="557"/>
      <c r="E12" s="557"/>
      <c r="F12" s="557"/>
    </row>
    <row r="13" spans="1:8" ht="21.6" customHeight="1" x14ac:dyDescent="0.2">
      <c r="B13" s="557"/>
      <c r="C13" s="557"/>
      <c r="D13" s="557"/>
      <c r="E13" s="557"/>
      <c r="F13" s="557"/>
    </row>
    <row r="14" spans="1:8" ht="21.6" customHeight="1" x14ac:dyDescent="0.2">
      <c r="B14" s="557"/>
      <c r="C14" s="557"/>
      <c r="D14" s="557"/>
      <c r="E14" s="557"/>
      <c r="F14" s="557"/>
    </row>
    <row r="15" spans="1:8" ht="21.6" customHeight="1" x14ac:dyDescent="0.2">
      <c r="B15" s="557"/>
      <c r="C15" s="557"/>
      <c r="D15" s="557"/>
      <c r="E15" s="557"/>
      <c r="F15" s="557"/>
    </row>
    <row r="16" spans="1:8" ht="21.6" customHeight="1" x14ac:dyDescent="0.2">
      <c r="B16" s="557"/>
      <c r="C16" s="557"/>
      <c r="D16" s="557"/>
      <c r="E16" s="557"/>
      <c r="F16" s="557"/>
    </row>
    <row r="17" spans="1:6" ht="21.6" customHeight="1" x14ac:dyDescent="0.2">
      <c r="B17" s="557"/>
      <c r="C17" s="557"/>
      <c r="D17" s="557"/>
      <c r="E17" s="557"/>
      <c r="F17" s="557"/>
    </row>
    <row r="18" spans="1:6" ht="21.6" customHeight="1" x14ac:dyDescent="0.2">
      <c r="B18" s="557"/>
      <c r="C18" s="557"/>
      <c r="D18" s="557"/>
      <c r="E18" s="557"/>
      <c r="F18" s="557"/>
    </row>
    <row r="19" spans="1:6" ht="21.6" customHeight="1" x14ac:dyDescent="0.2">
      <c r="B19" s="557"/>
      <c r="C19" s="557"/>
      <c r="D19" s="557"/>
      <c r="E19" s="557"/>
      <c r="F19" s="557"/>
    </row>
    <row r="20" spans="1:6" ht="21.6" customHeight="1" x14ac:dyDescent="0.2">
      <c r="A20" s="557"/>
      <c r="B20" s="557"/>
      <c r="C20" s="557"/>
      <c r="D20" s="557"/>
      <c r="E20" s="557"/>
      <c r="F20" s="557"/>
    </row>
    <row r="21" spans="1:6" ht="21.6" customHeight="1" x14ac:dyDescent="0.2">
      <c r="B21" s="557"/>
      <c r="C21" s="557"/>
      <c r="D21" s="557"/>
      <c r="E21" s="557"/>
      <c r="F21" s="557"/>
    </row>
    <row r="22" spans="1:6" ht="21.6" customHeight="1" x14ac:dyDescent="0.2">
      <c r="B22" s="557"/>
      <c r="C22" s="557"/>
      <c r="D22" s="557"/>
      <c r="E22" s="557"/>
      <c r="F22" s="557"/>
    </row>
    <row r="23" spans="1:6" ht="21.6" customHeight="1" x14ac:dyDescent="0.2">
      <c r="B23" s="557"/>
      <c r="C23" s="557"/>
      <c r="D23" s="557"/>
      <c r="E23" s="557"/>
      <c r="F23" s="557"/>
    </row>
    <row r="24" spans="1:6" ht="21.6" customHeight="1" x14ac:dyDescent="0.2">
      <c r="B24" s="557"/>
      <c r="C24" s="557"/>
      <c r="D24" s="557"/>
      <c r="E24" s="557"/>
      <c r="F24" s="557"/>
    </row>
    <row r="25" spans="1:6" ht="21.6" customHeight="1" x14ac:dyDescent="0.2">
      <c r="B25" s="557"/>
      <c r="C25" s="557"/>
      <c r="D25" s="557"/>
      <c r="E25" s="557"/>
      <c r="F25" s="557"/>
    </row>
    <row r="26" spans="1:6" ht="33.200000000000003" customHeight="1" x14ac:dyDescent="0.2">
      <c r="A26" s="557"/>
      <c r="B26" s="557"/>
      <c r="C26" s="557"/>
      <c r="D26" s="557"/>
      <c r="E26" s="557"/>
      <c r="F26" s="557"/>
    </row>
    <row r="27" spans="1:6" ht="21.6" customHeight="1" x14ac:dyDescent="0.2">
      <c r="B27" s="557"/>
      <c r="C27" s="557"/>
      <c r="D27" s="557"/>
      <c r="E27" s="557"/>
      <c r="F27" s="557"/>
    </row>
    <row r="28" spans="1:6" ht="21.6" customHeight="1" x14ac:dyDescent="0.2">
      <c r="B28" s="557"/>
      <c r="C28" s="557"/>
      <c r="D28" s="557"/>
      <c r="E28" s="557"/>
      <c r="F28" s="557"/>
    </row>
    <row r="29" spans="1:6" ht="21.6" customHeight="1" x14ac:dyDescent="0.2">
      <c r="A29" s="557"/>
      <c r="B29" s="557"/>
      <c r="C29" s="557"/>
      <c r="D29" s="557"/>
      <c r="E29" s="557"/>
      <c r="F29" s="557"/>
    </row>
    <row r="30" spans="1:6" ht="54.2" customHeight="1" x14ac:dyDescent="0.2">
      <c r="A30" s="557"/>
    </row>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sheetProtection algorithmName="SHA-512" hashValue="3iUD5gaFWBtqgsjA0mjtTU2xrYJ4GEE5LczOxV6d5SaX0FuQ141UT/kTpdYmwOtf3qPE1I/V3+J0FK3P7jYDSg==" saltValue="TIRFK/9w5DdIT/bhzmXBdw==" spinCount="100000" sheet="1" objects="1" scenarios="1"/>
  <mergeCells count="4">
    <mergeCell ref="A1:E1"/>
    <mergeCell ref="A4:B4"/>
    <mergeCell ref="A5:B5"/>
    <mergeCell ref="A6:E6"/>
  </mergeCells>
  <pageMargins left="0.75" right="0.75" top="1" bottom="1" header="0.5" footer="0.5"/>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49"/>
  <sheetViews>
    <sheetView showGridLines="0" showRuler="0" topLeftCell="M1" workbookViewId="0">
      <selection activeCell="N4" sqref="N4"/>
    </sheetView>
  </sheetViews>
  <sheetFormatPr defaultColWidth="13.140625" defaultRowHeight="12.75" x14ac:dyDescent="0.2"/>
  <cols>
    <col min="1" max="12" width="0" hidden="1"/>
    <col min="13" max="13" width="27.5703125" customWidth="1"/>
    <col min="14" max="14" width="31" customWidth="1"/>
    <col min="15" max="23" width="14.42578125" customWidth="1"/>
    <col min="24" max="24" width="5.7109375" customWidth="1"/>
    <col min="25" max="25" width="26.7109375" customWidth="1"/>
    <col min="26" max="26" width="18.140625" customWidth="1"/>
    <col min="27" max="27" width="0" hidden="1"/>
  </cols>
  <sheetData>
    <row r="1" spans="1:33" ht="20.85" customHeight="1" x14ac:dyDescent="0.25">
      <c r="A1" s="23"/>
      <c r="B1" s="23"/>
      <c r="C1" s="23"/>
      <c r="D1" s="23"/>
      <c r="E1" s="23"/>
      <c r="F1" s="23"/>
      <c r="G1" s="23"/>
      <c r="H1" s="23"/>
      <c r="I1" s="23"/>
      <c r="J1" s="23"/>
      <c r="K1" s="23"/>
      <c r="L1" s="23"/>
      <c r="M1" s="624" t="s">
        <v>400</v>
      </c>
      <c r="N1" s="624"/>
      <c r="O1" s="624"/>
      <c r="P1" s="624"/>
      <c r="Q1" s="624"/>
      <c r="R1" s="23"/>
      <c r="S1" s="23"/>
      <c r="T1" s="23"/>
      <c r="U1" s="23"/>
      <c r="V1" s="23"/>
      <c r="W1" s="23"/>
      <c r="X1" s="23"/>
    </row>
    <row r="2" spans="1:33" x14ac:dyDescent="0.2">
      <c r="A2" s="24"/>
      <c r="B2" s="24"/>
      <c r="C2" s="24"/>
      <c r="D2" s="24"/>
      <c r="E2" s="24"/>
      <c r="F2" s="24"/>
      <c r="G2" s="24"/>
      <c r="H2" s="24"/>
      <c r="I2" s="24"/>
      <c r="J2" s="24"/>
      <c r="K2" s="24"/>
      <c r="L2" s="23"/>
      <c r="M2" s="2"/>
      <c r="N2" s="24"/>
      <c r="O2" s="24"/>
      <c r="P2" s="24"/>
      <c r="Q2" s="24"/>
      <c r="R2" s="24"/>
      <c r="S2" s="24"/>
      <c r="T2" s="24"/>
      <c r="U2" s="24"/>
      <c r="V2" s="24"/>
      <c r="W2" s="24"/>
      <c r="X2" s="23"/>
    </row>
    <row r="3" spans="1:33" ht="51.6" customHeight="1" x14ac:dyDescent="0.25">
      <c r="A3" s="10"/>
      <c r="B3" s="203" t="s">
        <v>401</v>
      </c>
      <c r="C3" s="204" t="s">
        <v>402</v>
      </c>
      <c r="D3" s="205" t="s">
        <v>403</v>
      </c>
      <c r="E3" s="205" t="s">
        <v>404</v>
      </c>
      <c r="F3" s="205" t="s">
        <v>405</v>
      </c>
      <c r="G3" s="205" t="s">
        <v>406</v>
      </c>
      <c r="H3" s="205" t="s">
        <v>407</v>
      </c>
      <c r="I3" s="205" t="s">
        <v>408</v>
      </c>
      <c r="J3" s="205" t="s">
        <v>409</v>
      </c>
      <c r="K3" s="205" t="s">
        <v>410</v>
      </c>
      <c r="L3" s="16"/>
      <c r="M3" s="449" t="s">
        <v>1161</v>
      </c>
      <c r="N3" s="4" t="s">
        <v>142</v>
      </c>
      <c r="O3" s="4" t="s">
        <v>402</v>
      </c>
      <c r="P3" s="4" t="s">
        <v>411</v>
      </c>
      <c r="Q3" s="4" t="s">
        <v>404</v>
      </c>
      <c r="R3" s="4" t="s">
        <v>405</v>
      </c>
      <c r="S3" s="4" t="s">
        <v>406</v>
      </c>
      <c r="T3" s="4" t="s">
        <v>407</v>
      </c>
      <c r="U3" s="4" t="s">
        <v>408</v>
      </c>
      <c r="V3" s="4" t="s">
        <v>409</v>
      </c>
      <c r="W3" s="206" t="s">
        <v>410</v>
      </c>
      <c r="X3" s="11"/>
      <c r="Y3" s="39" t="s">
        <v>412</v>
      </c>
      <c r="Z3" s="4" t="s">
        <v>153</v>
      </c>
      <c r="AA3" s="37">
        <v>2015</v>
      </c>
      <c r="AB3" s="37">
        <v>2016</v>
      </c>
      <c r="AC3" s="37">
        <v>2017</v>
      </c>
      <c r="AD3" s="37">
        <v>2018</v>
      </c>
      <c r="AE3" s="37">
        <v>2019</v>
      </c>
      <c r="AF3" s="37">
        <v>2020</v>
      </c>
      <c r="AG3" s="26"/>
    </row>
    <row r="4" spans="1:33" ht="21.6" customHeight="1" x14ac:dyDescent="0.2">
      <c r="A4" s="10"/>
      <c r="B4" s="207" t="s">
        <v>413</v>
      </c>
      <c r="C4" s="655" t="s">
        <v>162</v>
      </c>
      <c r="D4" s="656"/>
      <c r="E4" s="656"/>
      <c r="F4" s="657"/>
      <c r="G4" s="655" t="s">
        <v>414</v>
      </c>
      <c r="H4" s="656"/>
      <c r="I4" s="656"/>
      <c r="J4" s="656"/>
      <c r="K4" s="657"/>
      <c r="L4" s="11"/>
      <c r="M4" s="467" t="s">
        <v>415</v>
      </c>
      <c r="N4" s="468"/>
      <c r="O4" s="662" t="s">
        <v>156</v>
      </c>
      <c r="P4" s="662"/>
      <c r="Q4" s="662"/>
      <c r="R4" s="662"/>
      <c r="S4" s="662"/>
      <c r="T4" s="662" t="s">
        <v>416</v>
      </c>
      <c r="U4" s="662"/>
      <c r="V4" s="662"/>
      <c r="W4" s="662"/>
      <c r="X4" s="11"/>
      <c r="Y4" s="10" t="s">
        <v>402</v>
      </c>
      <c r="Z4" s="8" t="s">
        <v>156</v>
      </c>
      <c r="AA4" s="209">
        <v>102.7</v>
      </c>
      <c r="AB4" s="209">
        <v>83.2</v>
      </c>
      <c r="AC4" s="209">
        <v>97.9</v>
      </c>
      <c r="AD4" s="209">
        <v>103.1</v>
      </c>
      <c r="AE4" s="210">
        <v>84.17</v>
      </c>
      <c r="AF4" s="211">
        <v>67823.985430000001</v>
      </c>
      <c r="AG4" s="26"/>
    </row>
    <row r="5" spans="1:33" ht="21.6" customHeight="1" x14ac:dyDescent="0.2">
      <c r="A5" s="658" t="s">
        <v>154</v>
      </c>
      <c r="B5" s="207" t="s">
        <v>72</v>
      </c>
      <c r="C5" s="10"/>
      <c r="D5" s="10"/>
      <c r="E5" s="10"/>
      <c r="F5" s="10"/>
      <c r="G5" s="218"/>
      <c r="H5" s="10"/>
      <c r="I5" s="10"/>
      <c r="J5" s="10"/>
      <c r="K5" s="10"/>
      <c r="L5" s="11"/>
      <c r="M5" s="623" t="s">
        <v>154</v>
      </c>
      <c r="N5" s="212" t="s">
        <v>72</v>
      </c>
      <c r="O5" s="213">
        <f t="shared" ref="O5:W5" si="0">SUM(O6:O7)</f>
        <v>21598.309999999998</v>
      </c>
      <c r="P5" s="213">
        <f t="shared" si="0"/>
        <v>3837.0299500000001</v>
      </c>
      <c r="Q5" s="213">
        <f t="shared" si="0"/>
        <v>21569.86981</v>
      </c>
      <c r="R5" s="213">
        <f t="shared" si="0"/>
        <v>1051.1500000000001</v>
      </c>
      <c r="S5" s="213">
        <f t="shared" si="0"/>
        <v>1132.76</v>
      </c>
      <c r="T5" s="213">
        <f t="shared" si="0"/>
        <v>1927.2379999999998</v>
      </c>
      <c r="U5" s="213">
        <f t="shared" si="0"/>
        <v>1494.7950000000001</v>
      </c>
      <c r="V5" s="213">
        <f t="shared" si="0"/>
        <v>2.9</v>
      </c>
      <c r="W5" s="213">
        <f t="shared" si="0"/>
        <v>0.45</v>
      </c>
      <c r="X5" s="11"/>
      <c r="Y5" s="10" t="s">
        <v>417</v>
      </c>
      <c r="Z5" s="8" t="s">
        <v>156</v>
      </c>
      <c r="AA5" s="209">
        <v>49.2</v>
      </c>
      <c r="AB5" s="209">
        <v>57.8</v>
      </c>
      <c r="AC5" s="209">
        <v>68.599999999999994</v>
      </c>
      <c r="AD5" s="209">
        <v>59.1</v>
      </c>
      <c r="AE5" s="210">
        <v>47.26</v>
      </c>
      <c r="AF5" s="211">
        <v>45383.093959999998</v>
      </c>
      <c r="AG5" s="26"/>
    </row>
    <row r="6" spans="1:33" ht="21.6" customHeight="1" x14ac:dyDescent="0.2">
      <c r="A6" s="658"/>
      <c r="B6" s="214" t="s">
        <v>41</v>
      </c>
      <c r="C6" s="197">
        <v>9972</v>
      </c>
      <c r="D6" s="197">
        <v>2022</v>
      </c>
      <c r="E6" s="197">
        <v>5743</v>
      </c>
      <c r="F6" s="197">
        <v>9350</v>
      </c>
      <c r="G6" s="197">
        <v>696.6</v>
      </c>
      <c r="H6" s="197">
        <v>1394.6</v>
      </c>
      <c r="I6" s="197">
        <v>681.5</v>
      </c>
      <c r="J6" s="197">
        <v>0</v>
      </c>
      <c r="K6" s="197">
        <v>0</v>
      </c>
      <c r="L6" s="11"/>
      <c r="M6" s="623"/>
      <c r="N6" s="214" t="s">
        <v>41</v>
      </c>
      <c r="O6" s="215">
        <v>12721.72</v>
      </c>
      <c r="P6" s="215">
        <v>1945.03</v>
      </c>
      <c r="Q6" s="215">
        <v>11649.98</v>
      </c>
      <c r="R6" s="215">
        <v>1051.1500000000001</v>
      </c>
      <c r="S6" s="215">
        <v>700.43</v>
      </c>
      <c r="T6" s="215">
        <v>1365.0519999999999</v>
      </c>
      <c r="U6" s="216">
        <v>678.73</v>
      </c>
      <c r="V6" s="215">
        <v>0</v>
      </c>
      <c r="W6" s="215">
        <v>0</v>
      </c>
      <c r="X6" s="11"/>
      <c r="Y6" s="10" t="s">
        <v>404</v>
      </c>
      <c r="Z6" s="8" t="s">
        <v>156</v>
      </c>
      <c r="AA6" s="209">
        <v>515.79999999999995</v>
      </c>
      <c r="AB6" s="209">
        <v>513.1</v>
      </c>
      <c r="AC6" s="209">
        <v>513.5</v>
      </c>
      <c r="AD6" s="209">
        <v>473.8</v>
      </c>
      <c r="AE6" s="210">
        <v>285.06</v>
      </c>
      <c r="AF6" s="211">
        <v>299831.46681000001</v>
      </c>
      <c r="AG6" s="26"/>
    </row>
    <row r="7" spans="1:33" ht="21.6" customHeight="1" x14ac:dyDescent="0.2">
      <c r="A7" s="658"/>
      <c r="B7" s="214" t="s">
        <v>158</v>
      </c>
      <c r="C7" s="197">
        <v>10370</v>
      </c>
      <c r="D7" s="197">
        <v>1964</v>
      </c>
      <c r="E7" s="197">
        <v>9056</v>
      </c>
      <c r="F7" s="197">
        <v>0</v>
      </c>
      <c r="G7" s="197">
        <v>406.3</v>
      </c>
      <c r="H7" s="197">
        <v>548</v>
      </c>
      <c r="I7" s="197">
        <v>662.1</v>
      </c>
      <c r="J7" s="197">
        <v>0</v>
      </c>
      <c r="K7" s="197">
        <v>0</v>
      </c>
      <c r="L7" s="11"/>
      <c r="M7" s="623"/>
      <c r="N7" s="214" t="s">
        <v>158</v>
      </c>
      <c r="O7" s="215">
        <v>8876.59</v>
      </c>
      <c r="P7" s="215">
        <v>1891.9999499999999</v>
      </c>
      <c r="Q7" s="215">
        <v>9919.8898100000006</v>
      </c>
      <c r="R7" s="216">
        <v>0</v>
      </c>
      <c r="S7" s="215">
        <v>432.33</v>
      </c>
      <c r="T7" s="215">
        <v>562.18600000000004</v>
      </c>
      <c r="U7" s="216">
        <v>816.06500000000005</v>
      </c>
      <c r="V7" s="216">
        <v>2.9</v>
      </c>
      <c r="W7" s="216">
        <v>0.45</v>
      </c>
      <c r="X7" s="11"/>
      <c r="Y7" s="10" t="s">
        <v>405</v>
      </c>
      <c r="Z7" s="8" t="s">
        <v>156</v>
      </c>
      <c r="AA7" s="209">
        <v>72.8</v>
      </c>
      <c r="AB7" s="209">
        <v>65.099999999999994</v>
      </c>
      <c r="AC7" s="209">
        <v>71.2</v>
      </c>
      <c r="AD7" s="209">
        <v>78.099999999999994</v>
      </c>
      <c r="AE7" s="210">
        <v>63.12</v>
      </c>
      <c r="AF7" s="211">
        <v>52807.229558878498</v>
      </c>
      <c r="AG7" s="26"/>
    </row>
    <row r="8" spans="1:33" ht="21.6" customHeight="1" x14ac:dyDescent="0.2">
      <c r="A8" s="659" t="s">
        <v>160</v>
      </c>
      <c r="B8" s="207" t="s">
        <v>418</v>
      </c>
      <c r="C8" s="218"/>
      <c r="D8" s="218"/>
      <c r="E8" s="218"/>
      <c r="F8" s="218"/>
      <c r="G8" s="218"/>
      <c r="H8" s="218"/>
      <c r="I8" s="218"/>
      <c r="J8" s="218"/>
      <c r="K8" s="218"/>
      <c r="L8" s="11"/>
      <c r="M8" s="623" t="s">
        <v>160</v>
      </c>
      <c r="N8" s="212" t="s">
        <v>79</v>
      </c>
      <c r="O8" s="213">
        <f t="shared" ref="O8:W8" si="1">O9</f>
        <v>591</v>
      </c>
      <c r="P8" s="213">
        <f t="shared" si="1"/>
        <v>4238</v>
      </c>
      <c r="Q8" s="213">
        <f t="shared" si="1"/>
        <v>99589</v>
      </c>
      <c r="R8" s="213">
        <f t="shared" si="1"/>
        <v>0</v>
      </c>
      <c r="S8" s="213">
        <f t="shared" si="1"/>
        <v>540.44000000000005</v>
      </c>
      <c r="T8" s="213">
        <f t="shared" si="1"/>
        <v>693.423</v>
      </c>
      <c r="U8" s="213">
        <f t="shared" si="1"/>
        <v>1526.4179999999999</v>
      </c>
      <c r="V8" s="213">
        <f t="shared" si="1"/>
        <v>0</v>
      </c>
      <c r="W8" s="213">
        <f t="shared" si="1"/>
        <v>0.3</v>
      </c>
      <c r="X8" s="11"/>
      <c r="Y8" s="10" t="s">
        <v>406</v>
      </c>
      <c r="Z8" s="8" t="s">
        <v>156</v>
      </c>
      <c r="AA8" s="209">
        <v>12.2</v>
      </c>
      <c r="AB8" s="209">
        <v>9.1999999999999993</v>
      </c>
      <c r="AC8" s="209">
        <v>10</v>
      </c>
      <c r="AD8" s="209">
        <v>8.1</v>
      </c>
      <c r="AE8" s="210">
        <v>10.34</v>
      </c>
      <c r="AF8" s="211">
        <v>8788.3799999999992</v>
      </c>
      <c r="AG8" s="26"/>
    </row>
    <row r="9" spans="1:33" ht="21.6" customHeight="1" x14ac:dyDescent="0.2">
      <c r="A9" s="659"/>
      <c r="B9" s="214" t="s">
        <v>19</v>
      </c>
      <c r="C9" s="197">
        <v>799.4</v>
      </c>
      <c r="D9" s="197">
        <v>4408.8999999999996</v>
      </c>
      <c r="E9" s="197">
        <v>90397.5</v>
      </c>
      <c r="F9" s="197">
        <v>0</v>
      </c>
      <c r="G9" s="197">
        <v>630.79999999999995</v>
      </c>
      <c r="H9" s="197">
        <v>6616</v>
      </c>
      <c r="I9" s="197">
        <v>1611.5</v>
      </c>
      <c r="J9" s="197">
        <v>0</v>
      </c>
      <c r="K9" s="197">
        <v>0.2</v>
      </c>
      <c r="L9" s="11"/>
      <c r="M9" s="623"/>
      <c r="N9" s="214" t="s">
        <v>19</v>
      </c>
      <c r="O9" s="215">
        <v>591</v>
      </c>
      <c r="P9" s="215">
        <v>4238</v>
      </c>
      <c r="Q9" s="215">
        <v>99589</v>
      </c>
      <c r="R9" s="215">
        <v>0</v>
      </c>
      <c r="S9" s="215">
        <v>540.44000000000005</v>
      </c>
      <c r="T9" s="215">
        <v>693.423</v>
      </c>
      <c r="U9" s="215">
        <v>1526.4179999999999</v>
      </c>
      <c r="V9" s="215">
        <v>0</v>
      </c>
      <c r="W9" s="215">
        <v>0.3</v>
      </c>
      <c r="X9" s="11"/>
      <c r="Y9" s="10" t="s">
        <v>407</v>
      </c>
      <c r="Z9" s="8" t="s">
        <v>419</v>
      </c>
      <c r="AA9" s="209">
        <v>11.1</v>
      </c>
      <c r="AB9" s="209">
        <v>12.5</v>
      </c>
      <c r="AC9" s="209">
        <v>12.1</v>
      </c>
      <c r="AD9" s="209">
        <v>12.3</v>
      </c>
      <c r="AE9" s="210">
        <v>16.38</v>
      </c>
      <c r="AF9" s="211">
        <v>10050.960037000001</v>
      </c>
      <c r="AG9" s="26"/>
    </row>
    <row r="10" spans="1:33" ht="21.6" customHeight="1" x14ac:dyDescent="0.2">
      <c r="A10" s="659"/>
      <c r="B10" s="207" t="s">
        <v>82</v>
      </c>
      <c r="C10" s="218"/>
      <c r="D10" s="10"/>
      <c r="E10" s="10"/>
      <c r="F10" s="10"/>
      <c r="G10" s="218"/>
      <c r="H10" s="10"/>
      <c r="I10" s="218"/>
      <c r="J10" s="218"/>
      <c r="K10" s="218"/>
      <c r="L10" s="11"/>
      <c r="M10" s="623"/>
      <c r="N10" s="212" t="s">
        <v>82</v>
      </c>
      <c r="O10" s="213">
        <f t="shared" ref="O10:W10" si="2">SUM(O11:O13)</f>
        <v>5250.6754300000002</v>
      </c>
      <c r="P10" s="213">
        <f t="shared" si="2"/>
        <v>1711.6590100000001</v>
      </c>
      <c r="Q10" s="213">
        <f t="shared" si="2"/>
        <v>5660.1039999999994</v>
      </c>
      <c r="R10" s="213">
        <f t="shared" si="2"/>
        <v>37338.317000000003</v>
      </c>
      <c r="S10" s="213">
        <f t="shared" si="2"/>
        <v>1594.44</v>
      </c>
      <c r="T10" s="213">
        <f t="shared" si="2"/>
        <v>1135.0022590000001</v>
      </c>
      <c r="U10" s="213">
        <f t="shared" si="2"/>
        <v>3.9510000000000001</v>
      </c>
      <c r="V10" s="213">
        <f t="shared" si="2"/>
        <v>3.6190000000000002</v>
      </c>
      <c r="W10" s="213">
        <f t="shared" si="2"/>
        <v>17.365000000000002</v>
      </c>
      <c r="X10" s="11"/>
      <c r="Y10" s="10" t="s">
        <v>408</v>
      </c>
      <c r="Z10" s="8" t="s">
        <v>419</v>
      </c>
      <c r="AA10" s="209">
        <v>6.3</v>
      </c>
      <c r="AB10" s="209">
        <v>7</v>
      </c>
      <c r="AC10" s="209">
        <v>12.1</v>
      </c>
      <c r="AD10" s="209">
        <v>10.7</v>
      </c>
      <c r="AE10" s="210">
        <v>41.54</v>
      </c>
      <c r="AF10" s="211">
        <v>9567.0004560810794</v>
      </c>
      <c r="AG10" s="26"/>
    </row>
    <row r="11" spans="1:33" ht="21.6" customHeight="1" x14ac:dyDescent="0.3">
      <c r="A11" s="659"/>
      <c r="B11" s="214" t="s">
        <v>420</v>
      </c>
      <c r="C11" s="197">
        <v>3591.7</v>
      </c>
      <c r="D11" s="197">
        <v>1298</v>
      </c>
      <c r="E11" s="197">
        <v>3517.2</v>
      </c>
      <c r="F11" s="197">
        <v>24185.9</v>
      </c>
      <c r="G11" s="197">
        <v>914.9</v>
      </c>
      <c r="H11" s="197">
        <v>386.7</v>
      </c>
      <c r="I11" s="197">
        <v>0</v>
      </c>
      <c r="J11" s="197">
        <v>47.3</v>
      </c>
      <c r="K11" s="197">
        <v>232.1</v>
      </c>
      <c r="L11" s="11"/>
      <c r="M11" s="623"/>
      <c r="N11" s="214" t="s">
        <v>163</v>
      </c>
      <c r="O11" s="215">
        <v>2346</v>
      </c>
      <c r="P11" s="215">
        <v>707.6</v>
      </c>
      <c r="Q11" s="215">
        <v>1965</v>
      </c>
      <c r="R11" s="215">
        <v>26387</v>
      </c>
      <c r="S11" s="215">
        <v>281.81</v>
      </c>
      <c r="T11" s="215">
        <v>308.298</v>
      </c>
      <c r="U11" s="215">
        <v>0</v>
      </c>
      <c r="V11" s="215">
        <v>3.6150000000000002</v>
      </c>
      <c r="W11" s="215">
        <v>17.015000000000001</v>
      </c>
      <c r="X11" s="11"/>
      <c r="Y11" s="10" t="s">
        <v>421</v>
      </c>
      <c r="Z11" s="8" t="s">
        <v>419</v>
      </c>
      <c r="AA11" s="209">
        <v>65.400000000000006</v>
      </c>
      <c r="AB11" s="209">
        <v>78</v>
      </c>
      <c r="AC11" s="209">
        <v>78.7</v>
      </c>
      <c r="AD11" s="209">
        <v>81.400000000000006</v>
      </c>
      <c r="AE11" s="210">
        <v>24.46</v>
      </c>
      <c r="AF11" s="211">
        <v>24488.475444444401</v>
      </c>
      <c r="AG11" s="26"/>
    </row>
    <row r="12" spans="1:33" ht="21.6" customHeight="1" x14ac:dyDescent="0.3">
      <c r="A12" s="659"/>
      <c r="B12" s="214" t="s">
        <v>164</v>
      </c>
      <c r="C12" s="197">
        <v>233.1</v>
      </c>
      <c r="D12" s="197">
        <v>74</v>
      </c>
      <c r="E12" s="197">
        <v>156.5</v>
      </c>
      <c r="F12" s="197">
        <v>87</v>
      </c>
      <c r="G12" s="197">
        <v>276.89999999999998</v>
      </c>
      <c r="H12" s="197">
        <v>244.2</v>
      </c>
      <c r="I12" s="197">
        <v>21.9</v>
      </c>
      <c r="J12" s="197">
        <v>0</v>
      </c>
      <c r="K12" s="197">
        <v>1</v>
      </c>
      <c r="L12" s="11"/>
      <c r="M12" s="623"/>
      <c r="N12" s="214" t="s">
        <v>164</v>
      </c>
      <c r="O12" s="215">
        <v>754.67543000000001</v>
      </c>
      <c r="P12" s="215">
        <v>269.05901</v>
      </c>
      <c r="Q12" s="215">
        <v>457.10399999999998</v>
      </c>
      <c r="R12" s="215">
        <v>331.61</v>
      </c>
      <c r="S12" s="215">
        <v>196.98</v>
      </c>
      <c r="T12" s="215">
        <v>193.36799999999999</v>
      </c>
      <c r="U12" s="215">
        <v>3.7010000000000001</v>
      </c>
      <c r="V12" s="215">
        <v>0</v>
      </c>
      <c r="W12" s="215">
        <v>0</v>
      </c>
      <c r="X12" s="11"/>
      <c r="Y12" s="10" t="s">
        <v>422</v>
      </c>
      <c r="Z12" s="8" t="s">
        <v>419</v>
      </c>
      <c r="AA12" s="217" t="s">
        <v>93</v>
      </c>
      <c r="AB12" s="218" t="s">
        <v>93</v>
      </c>
      <c r="AC12" s="218" t="s">
        <v>93</v>
      </c>
      <c r="AD12" s="218" t="s">
        <v>93</v>
      </c>
      <c r="AE12" s="210">
        <v>0.24</v>
      </c>
      <c r="AF12" s="211">
        <v>19.312445255474501</v>
      </c>
      <c r="AG12" s="26"/>
    </row>
    <row r="13" spans="1:33" ht="21.6" customHeight="1" x14ac:dyDescent="0.2">
      <c r="A13" s="659"/>
      <c r="B13" s="214" t="s">
        <v>29</v>
      </c>
      <c r="C13" s="197">
        <v>2295</v>
      </c>
      <c r="D13" s="197">
        <v>733</v>
      </c>
      <c r="E13" s="197">
        <v>3265</v>
      </c>
      <c r="F13" s="197">
        <v>8520</v>
      </c>
      <c r="G13" s="197">
        <v>1035.9000000000001</v>
      </c>
      <c r="H13" s="197">
        <v>614.70000000000005</v>
      </c>
      <c r="I13" s="197">
        <v>0</v>
      </c>
      <c r="J13" s="197">
        <v>0</v>
      </c>
      <c r="K13" s="197">
        <v>0.4</v>
      </c>
      <c r="L13" s="11"/>
      <c r="M13" s="623"/>
      <c r="N13" s="214" t="s">
        <v>29</v>
      </c>
      <c r="O13" s="215">
        <v>2150</v>
      </c>
      <c r="P13" s="215">
        <v>735</v>
      </c>
      <c r="Q13" s="215">
        <v>3238</v>
      </c>
      <c r="R13" s="215">
        <v>10619.707</v>
      </c>
      <c r="S13" s="215">
        <v>1115.6500000000001</v>
      </c>
      <c r="T13" s="215">
        <v>633.33625900000004</v>
      </c>
      <c r="U13" s="215">
        <v>0.25</v>
      </c>
      <c r="V13" s="215">
        <v>4.0000000000000001E-3</v>
      </c>
      <c r="W13" s="215">
        <v>0.35</v>
      </c>
      <c r="X13" s="57"/>
      <c r="Y13" s="563" t="s">
        <v>423</v>
      </c>
      <c r="Z13" s="563"/>
      <c r="AA13" s="563"/>
      <c r="AB13" s="563"/>
      <c r="AC13" s="563"/>
      <c r="AD13" s="563"/>
      <c r="AE13" s="563"/>
      <c r="AF13" s="563"/>
    </row>
    <row r="14" spans="1:33" ht="21.6" customHeight="1" x14ac:dyDescent="0.2">
      <c r="A14" s="659"/>
      <c r="B14" s="207" t="s">
        <v>86</v>
      </c>
      <c r="C14" s="218"/>
      <c r="D14" s="10"/>
      <c r="E14" s="10"/>
      <c r="F14" s="10"/>
      <c r="G14" s="218"/>
      <c r="H14" s="10"/>
      <c r="I14" s="218"/>
      <c r="J14" s="218"/>
      <c r="K14" s="218"/>
      <c r="L14" s="11"/>
      <c r="M14" s="623"/>
      <c r="N14" s="212" t="s">
        <v>86</v>
      </c>
      <c r="O14" s="213">
        <f t="shared" ref="O14:W14" si="3">O15</f>
        <v>8197</v>
      </c>
      <c r="P14" s="213">
        <f t="shared" si="3"/>
        <v>9317</v>
      </c>
      <c r="Q14" s="213">
        <f t="shared" si="3"/>
        <v>16344.83</v>
      </c>
      <c r="R14" s="213">
        <f t="shared" si="3"/>
        <v>0</v>
      </c>
      <c r="S14" s="213">
        <f t="shared" si="3"/>
        <v>2256.64</v>
      </c>
      <c r="T14" s="213">
        <f t="shared" si="3"/>
        <v>1540.523827</v>
      </c>
      <c r="U14" s="213">
        <f t="shared" si="3"/>
        <v>0</v>
      </c>
      <c r="V14" s="213">
        <f t="shared" si="3"/>
        <v>0</v>
      </c>
      <c r="W14" s="213">
        <f t="shared" si="3"/>
        <v>0</v>
      </c>
      <c r="X14" s="57"/>
      <c r="Y14" s="564"/>
      <c r="Z14" s="564"/>
      <c r="AA14" s="564"/>
      <c r="AB14" s="564"/>
      <c r="AC14" s="564"/>
      <c r="AD14" s="564"/>
      <c r="AE14" s="564"/>
      <c r="AF14" s="564"/>
    </row>
    <row r="15" spans="1:33" ht="21.6" customHeight="1" x14ac:dyDescent="0.2">
      <c r="A15" s="659"/>
      <c r="B15" s="219" t="s">
        <v>25</v>
      </c>
      <c r="C15" s="197">
        <v>11426.3</v>
      </c>
      <c r="D15" s="197">
        <v>10323.700000000001</v>
      </c>
      <c r="E15" s="197">
        <v>14222.9</v>
      </c>
      <c r="F15" s="197">
        <v>0</v>
      </c>
      <c r="G15" s="197">
        <v>1899.3</v>
      </c>
      <c r="H15" s="197">
        <v>1517.3</v>
      </c>
      <c r="I15" s="197">
        <v>0</v>
      </c>
      <c r="J15" s="197">
        <v>0</v>
      </c>
      <c r="K15" s="197">
        <v>0</v>
      </c>
      <c r="L15" s="11"/>
      <c r="M15" s="623"/>
      <c r="N15" s="214" t="s">
        <v>25</v>
      </c>
      <c r="O15" s="215">
        <v>8197</v>
      </c>
      <c r="P15" s="215">
        <v>9317</v>
      </c>
      <c r="Q15" s="215">
        <v>16344.83</v>
      </c>
      <c r="R15" s="215">
        <v>0</v>
      </c>
      <c r="S15" s="215">
        <v>2256.64</v>
      </c>
      <c r="T15" s="215">
        <v>1540.523827</v>
      </c>
      <c r="U15" s="215">
        <v>0</v>
      </c>
      <c r="V15" s="215">
        <v>0</v>
      </c>
      <c r="W15" s="215">
        <v>0</v>
      </c>
      <c r="X15" s="57"/>
      <c r="Y15" s="564"/>
      <c r="Z15" s="564"/>
      <c r="AA15" s="564"/>
      <c r="AB15" s="564"/>
      <c r="AC15" s="564"/>
      <c r="AD15" s="564"/>
      <c r="AE15" s="564"/>
      <c r="AF15" s="564"/>
    </row>
    <row r="16" spans="1:33" ht="21.6" customHeight="1" x14ac:dyDescent="0.2">
      <c r="A16" s="660" t="s">
        <v>166</v>
      </c>
      <c r="B16" s="207" t="s">
        <v>89</v>
      </c>
      <c r="C16" s="218"/>
      <c r="D16" s="10"/>
      <c r="E16" s="10"/>
      <c r="F16" s="10"/>
      <c r="G16" s="218"/>
      <c r="H16" s="10"/>
      <c r="I16" s="218"/>
      <c r="J16" s="218"/>
      <c r="K16" s="218"/>
      <c r="L16" s="11"/>
      <c r="M16" s="623" t="s">
        <v>166</v>
      </c>
      <c r="N16" s="212" t="s">
        <v>89</v>
      </c>
      <c r="O16" s="213">
        <f t="shared" ref="O16:W16" si="4">O17</f>
        <v>1199</v>
      </c>
      <c r="P16" s="213">
        <f t="shared" si="4"/>
        <v>594.74</v>
      </c>
      <c r="Q16" s="213">
        <f t="shared" si="4"/>
        <v>191.804</v>
      </c>
      <c r="R16" s="213">
        <f t="shared" si="4"/>
        <v>7082.10005887846</v>
      </c>
      <c r="S16" s="213">
        <f t="shared" si="4"/>
        <v>66.48</v>
      </c>
      <c r="T16" s="213">
        <f t="shared" si="4"/>
        <v>215.23995099999999</v>
      </c>
      <c r="U16" s="213">
        <f t="shared" si="4"/>
        <v>0</v>
      </c>
      <c r="V16" s="213">
        <f t="shared" si="4"/>
        <v>0</v>
      </c>
      <c r="W16" s="213">
        <f t="shared" si="4"/>
        <v>0</v>
      </c>
      <c r="X16" s="57"/>
    </row>
    <row r="17" spans="1:24" ht="21.6" customHeight="1" x14ac:dyDescent="0.2">
      <c r="A17" s="660"/>
      <c r="B17" s="219" t="s">
        <v>11</v>
      </c>
      <c r="C17" s="197">
        <v>2610.5</v>
      </c>
      <c r="D17" s="197">
        <v>1151.3</v>
      </c>
      <c r="E17" s="197">
        <v>1579.4</v>
      </c>
      <c r="F17" s="197">
        <v>8212.6</v>
      </c>
      <c r="G17" s="197">
        <v>304.2</v>
      </c>
      <c r="H17" s="197">
        <v>315.60000000000002</v>
      </c>
      <c r="I17" s="197">
        <v>0</v>
      </c>
      <c r="J17" s="197">
        <v>0</v>
      </c>
      <c r="K17" s="197">
        <v>0</v>
      </c>
      <c r="L17" s="11"/>
      <c r="M17" s="623"/>
      <c r="N17" s="214" t="s">
        <v>11</v>
      </c>
      <c r="O17" s="215">
        <v>1199</v>
      </c>
      <c r="P17" s="215">
        <v>594.74</v>
      </c>
      <c r="Q17" s="215">
        <v>191.804</v>
      </c>
      <c r="R17" s="215">
        <v>7082.10005887846</v>
      </c>
      <c r="S17" s="215">
        <v>66.48</v>
      </c>
      <c r="T17" s="215">
        <v>215.23995099999999</v>
      </c>
      <c r="U17" s="215">
        <v>0</v>
      </c>
      <c r="V17" s="215">
        <v>0</v>
      </c>
      <c r="W17" s="215">
        <v>0</v>
      </c>
      <c r="X17" s="57"/>
    </row>
    <row r="18" spans="1:24" ht="21.6" customHeight="1" x14ac:dyDescent="0.2">
      <c r="A18" s="660"/>
      <c r="B18" s="207" t="s">
        <v>94</v>
      </c>
      <c r="C18" s="218"/>
      <c r="D18" s="10"/>
      <c r="E18" s="10"/>
      <c r="F18" s="10"/>
      <c r="G18" s="218"/>
      <c r="H18" s="10"/>
      <c r="I18" s="10"/>
      <c r="J18" s="10"/>
      <c r="K18" s="10"/>
      <c r="L18" s="11"/>
      <c r="M18" s="623"/>
      <c r="N18" s="212" t="s">
        <v>94</v>
      </c>
      <c r="O18" s="213">
        <f t="shared" ref="O18:W18" si="5">O19</f>
        <v>7020</v>
      </c>
      <c r="P18" s="213">
        <f t="shared" si="5"/>
        <v>3222</v>
      </c>
      <c r="Q18" s="213">
        <f t="shared" si="5"/>
        <v>16236</v>
      </c>
      <c r="R18" s="213">
        <f t="shared" si="5"/>
        <v>0</v>
      </c>
      <c r="S18" s="213">
        <f t="shared" si="5"/>
        <v>951.88</v>
      </c>
      <c r="T18" s="213">
        <f t="shared" si="5"/>
        <v>880.67</v>
      </c>
      <c r="U18" s="213">
        <f t="shared" si="5"/>
        <v>2880</v>
      </c>
      <c r="V18" s="213">
        <f t="shared" si="5"/>
        <v>0</v>
      </c>
      <c r="W18" s="213">
        <f t="shared" si="5"/>
        <v>0.15</v>
      </c>
      <c r="X18" s="57"/>
    </row>
    <row r="19" spans="1:24" ht="21.6" customHeight="1" x14ac:dyDescent="0.2">
      <c r="A19" s="660"/>
      <c r="B19" s="219" t="s">
        <v>167</v>
      </c>
      <c r="C19" s="197">
        <v>8782</v>
      </c>
      <c r="D19" s="197">
        <v>2878</v>
      </c>
      <c r="E19" s="197">
        <v>17275</v>
      </c>
      <c r="F19" s="197">
        <v>0</v>
      </c>
      <c r="G19" s="197">
        <v>735.6</v>
      </c>
      <c r="H19" s="220">
        <v>931.7</v>
      </c>
      <c r="I19" s="197">
        <v>1893</v>
      </c>
      <c r="J19" s="197">
        <v>0</v>
      </c>
      <c r="K19" s="197">
        <v>0.2</v>
      </c>
      <c r="L19" s="11"/>
      <c r="M19" s="623"/>
      <c r="N19" s="214" t="s">
        <v>167</v>
      </c>
      <c r="O19" s="215">
        <v>7020</v>
      </c>
      <c r="P19" s="215">
        <v>3222</v>
      </c>
      <c r="Q19" s="215">
        <v>16236</v>
      </c>
      <c r="R19" s="215">
        <v>0</v>
      </c>
      <c r="S19" s="215">
        <v>951.88</v>
      </c>
      <c r="T19" s="215">
        <v>880.67</v>
      </c>
      <c r="U19" s="215">
        <v>2880</v>
      </c>
      <c r="V19" s="215">
        <v>0</v>
      </c>
      <c r="W19" s="215">
        <v>0.15</v>
      </c>
      <c r="X19" s="57"/>
    </row>
    <row r="20" spans="1:24" ht="21.6" customHeight="1" x14ac:dyDescent="0.2">
      <c r="A20" s="660"/>
      <c r="B20" s="207" t="s">
        <v>97</v>
      </c>
      <c r="C20" s="218"/>
      <c r="D20" s="10"/>
      <c r="E20" s="218"/>
      <c r="F20" s="10"/>
      <c r="G20" s="218"/>
      <c r="H20" s="10"/>
      <c r="I20" s="10"/>
      <c r="J20" s="10"/>
      <c r="K20" s="10"/>
      <c r="L20" s="11"/>
      <c r="M20" s="623"/>
      <c r="N20" s="212" t="s">
        <v>97</v>
      </c>
      <c r="O20" s="213">
        <f t="shared" ref="O20:W20" si="6">O21</f>
        <v>9094</v>
      </c>
      <c r="P20" s="213">
        <f t="shared" si="6"/>
        <v>12473.105</v>
      </c>
      <c r="Q20" s="213">
        <f t="shared" si="6"/>
        <v>117231.82799999999</v>
      </c>
      <c r="R20" s="213">
        <f t="shared" si="6"/>
        <v>1.0625</v>
      </c>
      <c r="S20" s="213">
        <f t="shared" si="6"/>
        <v>510.41</v>
      </c>
      <c r="T20" s="213">
        <f t="shared" si="6"/>
        <v>1318.23</v>
      </c>
      <c r="U20" s="213">
        <f t="shared" si="6"/>
        <v>1400.11045608108</v>
      </c>
      <c r="V20" s="213">
        <f t="shared" si="6"/>
        <v>3881.2484444444399</v>
      </c>
      <c r="W20" s="213">
        <f t="shared" si="6"/>
        <v>1.04744525547445</v>
      </c>
      <c r="X20" s="57"/>
    </row>
    <row r="21" spans="1:24" ht="21.6" customHeight="1" x14ac:dyDescent="0.2">
      <c r="A21" s="660"/>
      <c r="B21" s="219" t="s">
        <v>20</v>
      </c>
      <c r="C21" s="197">
        <v>12429</v>
      </c>
      <c r="D21" s="197">
        <v>11872</v>
      </c>
      <c r="E21" s="197">
        <v>111108</v>
      </c>
      <c r="F21" s="197">
        <v>20.6</v>
      </c>
      <c r="G21" s="197">
        <v>1202.2</v>
      </c>
      <c r="H21" s="197">
        <v>1163</v>
      </c>
      <c r="I21" s="197">
        <v>1331</v>
      </c>
      <c r="J21" s="197">
        <v>3256</v>
      </c>
      <c r="K21" s="197">
        <v>1.4</v>
      </c>
      <c r="L21" s="11"/>
      <c r="M21" s="623"/>
      <c r="N21" s="214" t="s">
        <v>20</v>
      </c>
      <c r="O21" s="215">
        <v>9094</v>
      </c>
      <c r="P21" s="215">
        <v>12473.105</v>
      </c>
      <c r="Q21" s="215">
        <v>117231.82799999999</v>
      </c>
      <c r="R21" s="215">
        <v>1.0625</v>
      </c>
      <c r="S21" s="215">
        <v>510.41</v>
      </c>
      <c r="T21" s="215">
        <v>1318.23</v>
      </c>
      <c r="U21" s="215">
        <v>1400.11045608108</v>
      </c>
      <c r="V21" s="215">
        <v>3881.2484444444399</v>
      </c>
      <c r="W21" s="215">
        <v>1.04744525547445</v>
      </c>
      <c r="X21" s="57"/>
    </row>
    <row r="22" spans="1:24" ht="21.6" customHeight="1" x14ac:dyDescent="0.2">
      <c r="A22" s="661" t="s">
        <v>168</v>
      </c>
      <c r="B22" s="207" t="s">
        <v>76</v>
      </c>
      <c r="C22" s="218"/>
      <c r="D22" s="10"/>
      <c r="E22" s="10"/>
      <c r="F22" s="10"/>
      <c r="G22" s="218"/>
      <c r="H22" s="10"/>
      <c r="I22" s="10"/>
      <c r="J22" s="10"/>
      <c r="K22" s="10"/>
      <c r="L22" s="11"/>
      <c r="M22" s="623" t="s">
        <v>168</v>
      </c>
      <c r="N22" s="212" t="s">
        <v>76</v>
      </c>
      <c r="O22" s="213">
        <f t="shared" ref="O22:W22" si="7">SUM(O23:O24)</f>
        <v>14874</v>
      </c>
      <c r="P22" s="213">
        <f t="shared" si="7"/>
        <v>9989.56</v>
      </c>
      <c r="Q22" s="213">
        <f t="shared" si="7"/>
        <v>23008.030999999999</v>
      </c>
      <c r="R22" s="213">
        <f t="shared" si="7"/>
        <v>7334.6</v>
      </c>
      <c r="S22" s="213">
        <f t="shared" si="7"/>
        <v>1735.33</v>
      </c>
      <c r="T22" s="213">
        <f t="shared" si="7"/>
        <v>2340.6329999999998</v>
      </c>
      <c r="U22" s="213">
        <f t="shared" si="7"/>
        <v>2261.7260000000001</v>
      </c>
      <c r="V22" s="213">
        <f t="shared" si="7"/>
        <v>20600.707999999999</v>
      </c>
      <c r="W22" s="213">
        <f t="shared" si="7"/>
        <v>0</v>
      </c>
      <c r="X22" s="57"/>
    </row>
    <row r="23" spans="1:24" ht="21.6" customHeight="1" x14ac:dyDescent="0.2">
      <c r="A23" s="661"/>
      <c r="B23" s="214" t="s">
        <v>169</v>
      </c>
      <c r="C23" s="197">
        <v>19408</v>
      </c>
      <c r="D23" s="197">
        <v>9013</v>
      </c>
      <c r="E23" s="197">
        <v>21300</v>
      </c>
      <c r="F23" s="197">
        <v>0</v>
      </c>
      <c r="G23" s="197">
        <v>1398.4</v>
      </c>
      <c r="H23" s="197">
        <v>1997.3</v>
      </c>
      <c r="I23" s="197">
        <v>1867.6</v>
      </c>
      <c r="J23" s="197">
        <v>19138.2</v>
      </c>
      <c r="K23" s="197">
        <v>0</v>
      </c>
      <c r="L23" s="11"/>
      <c r="M23" s="623"/>
      <c r="N23" s="214" t="s">
        <v>169</v>
      </c>
      <c r="O23" s="215">
        <v>13438</v>
      </c>
      <c r="P23" s="215">
        <v>9062</v>
      </c>
      <c r="Q23" s="215">
        <v>21402.731</v>
      </c>
      <c r="R23" s="215">
        <v>0</v>
      </c>
      <c r="S23" s="215">
        <v>1442.53</v>
      </c>
      <c r="T23" s="215">
        <v>1939.2739999999999</v>
      </c>
      <c r="U23" s="215">
        <v>2006.289</v>
      </c>
      <c r="V23" s="215">
        <v>18836.419999999998</v>
      </c>
      <c r="W23" s="215">
        <v>0</v>
      </c>
      <c r="X23" s="57"/>
    </row>
    <row r="24" spans="1:24" ht="21.6" customHeight="1" x14ac:dyDescent="0.2">
      <c r="A24" s="661"/>
      <c r="B24" s="214" t="s">
        <v>14</v>
      </c>
      <c r="C24" s="197">
        <v>1328</v>
      </c>
      <c r="D24" s="197">
        <v>1013</v>
      </c>
      <c r="E24" s="197">
        <v>1660</v>
      </c>
      <c r="F24" s="197">
        <v>3360</v>
      </c>
      <c r="G24" s="197">
        <v>425.2</v>
      </c>
      <c r="H24" s="197">
        <v>357</v>
      </c>
      <c r="I24" s="197">
        <v>230.1</v>
      </c>
      <c r="J24" s="197">
        <v>1994.9</v>
      </c>
      <c r="K24" s="197">
        <v>0</v>
      </c>
      <c r="L24" s="11"/>
      <c r="M24" s="623"/>
      <c r="N24" s="214" t="s">
        <v>14</v>
      </c>
      <c r="O24" s="215">
        <v>1436</v>
      </c>
      <c r="P24" s="215">
        <v>927.56</v>
      </c>
      <c r="Q24" s="215">
        <v>1605.3</v>
      </c>
      <c r="R24" s="215">
        <v>7334.6</v>
      </c>
      <c r="S24" s="215">
        <v>292.8</v>
      </c>
      <c r="T24" s="215">
        <v>401.35899999999998</v>
      </c>
      <c r="U24" s="215">
        <v>255.43700000000001</v>
      </c>
      <c r="V24" s="215">
        <v>1764.288</v>
      </c>
      <c r="W24" s="215">
        <v>0</v>
      </c>
      <c r="X24" s="57"/>
    </row>
    <row r="25" spans="1:24" ht="21.6" customHeight="1" x14ac:dyDescent="0.2">
      <c r="A25" s="221" t="s">
        <v>50</v>
      </c>
      <c r="B25" s="5" t="s">
        <v>90</v>
      </c>
      <c r="C25" s="197">
        <v>84170.2</v>
      </c>
      <c r="D25" s="197">
        <v>47276.6</v>
      </c>
      <c r="E25" s="197">
        <v>285040.5</v>
      </c>
      <c r="F25" s="197">
        <v>63111</v>
      </c>
      <c r="G25" s="197">
        <v>10330.6</v>
      </c>
      <c r="H25" s="197">
        <v>16376.5</v>
      </c>
      <c r="I25" s="197">
        <v>41544.800000000003</v>
      </c>
      <c r="J25" s="197">
        <v>24455.599999999999</v>
      </c>
      <c r="K25" s="197">
        <v>235.4</v>
      </c>
      <c r="L25" s="11"/>
      <c r="M25" s="42" t="s">
        <v>170</v>
      </c>
      <c r="N25" s="36" t="s">
        <v>90</v>
      </c>
      <c r="O25" s="213">
        <f t="shared" ref="O25:W25" si="8">SUM(O5,O8,O10,O14,O16,O18,O20,O22)</f>
        <v>67823.985430000001</v>
      </c>
      <c r="P25" s="213">
        <f t="shared" si="8"/>
        <v>45383.093959999998</v>
      </c>
      <c r="Q25" s="213">
        <f t="shared" si="8"/>
        <v>299831.46681000001</v>
      </c>
      <c r="R25" s="213">
        <f t="shared" si="8"/>
        <v>52807.229558878462</v>
      </c>
      <c r="S25" s="213">
        <f t="shared" si="8"/>
        <v>8788.380000000001</v>
      </c>
      <c r="T25" s="213">
        <f t="shared" si="8"/>
        <v>10050.960036999999</v>
      </c>
      <c r="U25" s="213">
        <f t="shared" si="8"/>
        <v>9567.0004560810794</v>
      </c>
      <c r="V25" s="213">
        <f t="shared" si="8"/>
        <v>24488.475444444437</v>
      </c>
      <c r="W25" s="222">
        <f t="shared" si="8"/>
        <v>19.312445255474451</v>
      </c>
      <c r="X25" s="57"/>
    </row>
    <row r="26" spans="1:24" ht="51.6" customHeight="1" x14ac:dyDescent="0.2">
      <c r="A26" s="29"/>
      <c r="B26" s="29"/>
      <c r="C26" s="29"/>
      <c r="D26" s="29"/>
      <c r="E26" s="29"/>
      <c r="F26" s="29"/>
      <c r="G26" s="29"/>
      <c r="H26" s="29"/>
      <c r="I26" s="29"/>
      <c r="J26" s="29"/>
      <c r="K26" s="29"/>
      <c r="L26" s="23"/>
      <c r="M26" s="574" t="s">
        <v>1162</v>
      </c>
      <c r="N26" s="563"/>
      <c r="O26" s="563"/>
      <c r="P26" s="563"/>
      <c r="Q26" s="563"/>
      <c r="R26" s="563"/>
      <c r="S26" s="563"/>
      <c r="T26" s="563"/>
      <c r="U26" s="563"/>
      <c r="V26" s="563"/>
      <c r="W26" s="563"/>
      <c r="X26" s="23"/>
    </row>
    <row r="27" spans="1:24" ht="66.599999999999994" customHeight="1"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row>
    <row r="28" spans="1:24" ht="39.950000000000003" customHeight="1" x14ac:dyDescent="0.2">
      <c r="A28" s="23"/>
      <c r="B28" s="23"/>
      <c r="C28" s="23"/>
      <c r="D28" s="23"/>
      <c r="E28" s="23"/>
      <c r="F28" s="23"/>
      <c r="G28" s="23"/>
      <c r="H28" s="23"/>
      <c r="I28" s="23"/>
      <c r="J28" s="23"/>
      <c r="K28" s="23"/>
      <c r="L28" s="23"/>
      <c r="M28" s="7"/>
      <c r="N28" s="7"/>
      <c r="O28" s="7"/>
      <c r="P28" s="7"/>
      <c r="Q28" s="7"/>
      <c r="R28" s="7"/>
      <c r="S28" s="7"/>
      <c r="T28" s="7"/>
      <c r="U28" s="23"/>
      <c r="V28" s="23"/>
      <c r="W28" s="23"/>
      <c r="X28" s="23"/>
    </row>
    <row r="29" spans="1:24" ht="21.6" customHeight="1" x14ac:dyDescent="0.2">
      <c r="A29" s="23"/>
      <c r="B29" s="23"/>
      <c r="C29" s="23"/>
      <c r="D29" s="23"/>
      <c r="E29" s="23"/>
      <c r="F29" s="23"/>
      <c r="G29" s="23"/>
      <c r="H29" s="23"/>
      <c r="I29" s="23"/>
      <c r="J29" s="23"/>
      <c r="K29" s="23"/>
      <c r="L29" s="23"/>
      <c r="M29" s="7"/>
      <c r="N29" s="7"/>
      <c r="O29" s="7"/>
      <c r="P29" s="7"/>
      <c r="Q29" s="7"/>
      <c r="R29" s="7"/>
      <c r="S29" s="7"/>
      <c r="U29" s="23"/>
      <c r="V29" s="23"/>
      <c r="W29" s="23"/>
      <c r="X29" s="23"/>
    </row>
    <row r="30" spans="1:24" ht="21.6" customHeight="1" x14ac:dyDescent="0.2">
      <c r="A30" s="23"/>
      <c r="B30" s="23"/>
      <c r="C30" s="23"/>
      <c r="D30" s="23"/>
      <c r="E30" s="23"/>
      <c r="F30" s="23"/>
      <c r="G30" s="23"/>
      <c r="H30" s="23"/>
      <c r="I30" s="23"/>
      <c r="J30" s="23"/>
      <c r="K30" s="23"/>
      <c r="L30" s="23"/>
      <c r="M30" s="7"/>
      <c r="N30" s="7"/>
      <c r="O30" s="7"/>
      <c r="P30" s="7"/>
      <c r="Q30" s="7"/>
      <c r="R30" s="7"/>
      <c r="S30" s="7"/>
      <c r="U30" s="23"/>
      <c r="V30" s="23"/>
      <c r="W30" s="23"/>
      <c r="X30" s="23"/>
    </row>
    <row r="31" spans="1:24" ht="21.6" customHeight="1" x14ac:dyDescent="0.2">
      <c r="A31" s="23"/>
      <c r="B31" s="23"/>
      <c r="C31" s="23"/>
      <c r="D31" s="23"/>
      <c r="E31" s="23"/>
      <c r="F31" s="23"/>
      <c r="G31" s="23"/>
      <c r="H31" s="23"/>
      <c r="I31" s="23"/>
      <c r="J31" s="23"/>
      <c r="K31" s="23"/>
      <c r="L31" s="23"/>
      <c r="M31" s="7"/>
      <c r="N31" s="7"/>
      <c r="O31" s="7"/>
      <c r="P31" s="7"/>
      <c r="Q31" s="7"/>
      <c r="R31" s="7"/>
      <c r="S31" s="7"/>
      <c r="U31" s="23"/>
      <c r="V31" s="23"/>
      <c r="W31" s="23"/>
      <c r="X31" s="23"/>
    </row>
    <row r="32" spans="1:24" ht="21.6" customHeight="1" x14ac:dyDescent="0.2">
      <c r="A32" s="23"/>
      <c r="B32" s="23"/>
      <c r="C32" s="23"/>
      <c r="D32" s="23"/>
      <c r="E32" s="23"/>
      <c r="F32" s="23"/>
      <c r="G32" s="23"/>
      <c r="H32" s="23"/>
      <c r="I32" s="23"/>
      <c r="J32" s="23"/>
      <c r="K32" s="23"/>
      <c r="L32" s="23"/>
      <c r="M32" s="7"/>
      <c r="N32" s="7"/>
      <c r="O32" s="7"/>
      <c r="P32" s="7"/>
      <c r="Q32" s="7"/>
      <c r="R32" s="7"/>
      <c r="S32" s="7"/>
      <c r="U32" s="23"/>
      <c r="V32" s="23"/>
      <c r="W32" s="23"/>
      <c r="X32" s="23"/>
    </row>
    <row r="33" spans="1:24" ht="21.6" customHeight="1" x14ac:dyDescent="0.2">
      <c r="A33" s="23"/>
      <c r="B33" s="23"/>
      <c r="C33" s="23"/>
      <c r="D33" s="23"/>
      <c r="E33" s="23"/>
      <c r="F33" s="23"/>
      <c r="G33" s="23"/>
      <c r="H33" s="23"/>
      <c r="I33" s="23"/>
      <c r="J33" s="23"/>
      <c r="K33" s="23"/>
      <c r="L33" s="23"/>
      <c r="M33" s="7"/>
      <c r="N33" s="7"/>
      <c r="O33" s="7"/>
      <c r="P33" s="7"/>
      <c r="Q33" s="7"/>
      <c r="R33" s="7"/>
      <c r="S33" s="7"/>
      <c r="U33" s="23"/>
      <c r="V33" s="23"/>
      <c r="W33" s="23"/>
      <c r="X33" s="23"/>
    </row>
    <row r="34" spans="1:24" ht="21.6" customHeight="1" x14ac:dyDescent="0.2">
      <c r="A34" s="23"/>
      <c r="B34" s="23"/>
      <c r="C34" s="23"/>
      <c r="D34" s="23"/>
      <c r="E34" s="23"/>
      <c r="F34" s="23"/>
      <c r="G34" s="23"/>
      <c r="H34" s="23"/>
      <c r="I34" s="23"/>
      <c r="J34" s="23"/>
      <c r="K34" s="23"/>
      <c r="L34" s="23"/>
      <c r="M34" s="7"/>
      <c r="N34" s="7"/>
      <c r="O34" s="7"/>
      <c r="P34" s="7"/>
      <c r="Q34" s="7"/>
      <c r="R34" s="7"/>
      <c r="S34" s="7"/>
      <c r="U34" s="23"/>
      <c r="V34" s="23"/>
      <c r="W34" s="23"/>
      <c r="X34" s="23"/>
    </row>
    <row r="35" spans="1:24" ht="21.6" customHeight="1" x14ac:dyDescent="0.2">
      <c r="A35" s="23"/>
      <c r="B35" s="23"/>
      <c r="C35" s="23"/>
      <c r="D35" s="23"/>
      <c r="E35" s="23"/>
      <c r="F35" s="23"/>
      <c r="G35" s="23"/>
      <c r="H35" s="23"/>
      <c r="I35" s="23"/>
      <c r="J35" s="23"/>
      <c r="K35" s="23"/>
      <c r="L35" s="23"/>
      <c r="M35" s="7"/>
      <c r="N35" s="7"/>
      <c r="O35" s="7"/>
      <c r="P35" s="7"/>
      <c r="Q35" s="7"/>
      <c r="R35" s="7"/>
      <c r="S35" s="7"/>
      <c r="U35" s="23"/>
      <c r="V35" s="23"/>
      <c r="W35" s="23"/>
      <c r="X35" s="23"/>
    </row>
    <row r="36" spans="1:24" ht="21.6" customHeight="1" x14ac:dyDescent="0.2">
      <c r="A36" s="23"/>
      <c r="B36" s="23"/>
      <c r="C36" s="23"/>
      <c r="D36" s="23"/>
      <c r="E36" s="23"/>
      <c r="F36" s="23"/>
      <c r="G36" s="23"/>
      <c r="H36" s="23"/>
      <c r="I36" s="23"/>
      <c r="J36" s="23"/>
      <c r="K36" s="23"/>
      <c r="L36" s="23"/>
      <c r="M36" s="7"/>
      <c r="N36" s="7"/>
      <c r="O36" s="7"/>
      <c r="P36" s="7"/>
      <c r="Q36" s="7"/>
      <c r="R36" s="7"/>
      <c r="S36" s="7"/>
      <c r="U36" s="23"/>
      <c r="V36" s="23"/>
      <c r="W36" s="23"/>
      <c r="X36" s="23"/>
    </row>
    <row r="37" spans="1:24" ht="21.6" customHeight="1" x14ac:dyDescent="0.2">
      <c r="A37" s="23"/>
      <c r="B37" s="23"/>
      <c r="C37" s="23"/>
      <c r="D37" s="23"/>
      <c r="E37" s="23"/>
      <c r="F37" s="23"/>
      <c r="G37" s="23"/>
      <c r="H37" s="23"/>
      <c r="I37" s="23"/>
      <c r="J37" s="23"/>
      <c r="K37" s="23"/>
      <c r="L37" s="23"/>
      <c r="M37" s="7"/>
      <c r="N37" s="7"/>
      <c r="O37" s="7"/>
      <c r="P37" s="7"/>
      <c r="Q37" s="7"/>
      <c r="R37" s="7"/>
      <c r="S37" s="7"/>
      <c r="U37" s="23"/>
      <c r="V37" s="23"/>
      <c r="W37" s="23"/>
      <c r="X37" s="23"/>
    </row>
    <row r="38" spans="1:24" ht="96.6" customHeight="1" x14ac:dyDescent="0.2">
      <c r="A38" s="23"/>
      <c r="B38" s="23"/>
      <c r="C38" s="23"/>
      <c r="D38" s="23"/>
      <c r="E38" s="23"/>
      <c r="F38" s="23"/>
      <c r="G38" s="23"/>
      <c r="H38" s="23"/>
      <c r="I38" s="23"/>
      <c r="J38" s="23"/>
      <c r="K38" s="23"/>
      <c r="L38" s="23"/>
      <c r="M38" s="7"/>
      <c r="U38" s="23"/>
      <c r="V38" s="23"/>
      <c r="W38" s="23"/>
      <c r="X38" s="23"/>
    </row>
    <row r="39" spans="1:24" ht="14.1" customHeight="1"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row>
    <row r="40" spans="1:24" ht="14.1"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row>
    <row r="41" spans="1:24" ht="14.1"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row>
    <row r="42" spans="1:24" ht="14.1" customHeight="1"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row>
    <row r="43" spans="1:24" ht="14.1" customHeight="1"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row>
    <row r="44" spans="1:24" ht="14.1" customHeight="1"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row>
    <row r="45" spans="1:24" ht="14.1"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row>
    <row r="46" spans="1:24" ht="14.1" customHeight="1"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row>
    <row r="47" spans="1:24" ht="14.1" customHeight="1"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row>
    <row r="48" spans="1:24" ht="14.1" customHeight="1"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row>
    <row r="49" spans="1:24" ht="14.1" customHeight="1"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row>
  </sheetData>
  <sheetProtection algorithmName="SHA-512" hashValue="EsOUnOqlozMpR8K0ft/4fMd9quM1MtVAi1X3K3SFIRgSA91BsMDjf/t035naLM90+6wvsmVZ0PnUYjDaJYkH8A==" saltValue="fwXqzrpEho+oWKOevb7imQ==" spinCount="100000" sheet="1" objects="1" scenarios="1"/>
  <mergeCells count="15">
    <mergeCell ref="M26:W26"/>
    <mergeCell ref="Y13:AF15"/>
    <mergeCell ref="O4:S4"/>
    <mergeCell ref="T4:W4"/>
    <mergeCell ref="M8:M15"/>
    <mergeCell ref="A8:A15"/>
    <mergeCell ref="A16:A21"/>
    <mergeCell ref="A22:A24"/>
    <mergeCell ref="M22:M24"/>
    <mergeCell ref="M16:M21"/>
    <mergeCell ref="C4:F4"/>
    <mergeCell ref="A5:A7"/>
    <mergeCell ref="G4:K4"/>
    <mergeCell ref="M1:Q1"/>
    <mergeCell ref="M5:M7"/>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50"/>
  <sheetViews>
    <sheetView showGridLines="0" showRuler="0" workbookViewId="0">
      <selection activeCell="D6" sqref="D6"/>
    </sheetView>
  </sheetViews>
  <sheetFormatPr defaultColWidth="13.140625" defaultRowHeight="12.75" x14ac:dyDescent="0.2"/>
  <cols>
    <col min="1" max="1" width="45.42578125" customWidth="1"/>
    <col min="2" max="2" width="15.5703125" hidden="1" customWidth="1"/>
    <col min="3" max="5" width="15.5703125" customWidth="1"/>
    <col min="6" max="6" width="14.42578125" customWidth="1"/>
    <col min="7" max="8" width="14.42578125" hidden="1" customWidth="1"/>
    <col min="9" max="9" width="14.42578125" customWidth="1"/>
    <col min="10" max="10" width="6.42578125" customWidth="1"/>
    <col min="11" max="11" width="45.42578125" customWidth="1"/>
    <col min="12" max="12" width="0" hidden="1"/>
    <col min="17" max="18" width="0" hidden="1"/>
  </cols>
  <sheetData>
    <row r="1" spans="1:20" ht="15.75" x14ac:dyDescent="0.25">
      <c r="A1" s="624" t="s">
        <v>424</v>
      </c>
      <c r="B1" s="624"/>
      <c r="C1" s="624"/>
      <c r="D1" s="624"/>
      <c r="E1" s="624"/>
      <c r="F1" s="23"/>
      <c r="G1" s="23"/>
      <c r="H1" s="23"/>
      <c r="I1" s="23"/>
    </row>
    <row r="2" spans="1:20" x14ac:dyDescent="0.2">
      <c r="A2" s="229"/>
      <c r="B2" s="24"/>
      <c r="C2" s="24"/>
      <c r="D2" s="24"/>
      <c r="E2" s="24"/>
      <c r="F2" s="24"/>
      <c r="G2" s="24"/>
      <c r="H2" s="24"/>
      <c r="I2" s="24"/>
    </row>
    <row r="3" spans="1:20" ht="37.5" customHeight="1" x14ac:dyDescent="0.2">
      <c r="A3" s="39" t="s">
        <v>425</v>
      </c>
      <c r="B3" s="37">
        <v>2015</v>
      </c>
      <c r="C3" s="37">
        <v>2016</v>
      </c>
      <c r="D3" s="37">
        <v>2017</v>
      </c>
      <c r="E3" s="37">
        <v>2018</v>
      </c>
      <c r="F3" s="37">
        <v>2019</v>
      </c>
      <c r="G3" s="108" t="s">
        <v>179</v>
      </c>
      <c r="H3" s="4" t="s">
        <v>180</v>
      </c>
      <c r="I3" s="37">
        <v>2020</v>
      </c>
      <c r="J3" s="55"/>
      <c r="K3" s="36" t="s">
        <v>426</v>
      </c>
      <c r="L3" s="37">
        <v>2015</v>
      </c>
      <c r="M3" s="37">
        <v>2016</v>
      </c>
      <c r="N3" s="37">
        <v>2017</v>
      </c>
      <c r="O3" s="37">
        <v>2018</v>
      </c>
      <c r="P3" s="37">
        <v>2019</v>
      </c>
      <c r="Q3" s="223" t="s">
        <v>179</v>
      </c>
      <c r="R3" s="223" t="s">
        <v>180</v>
      </c>
      <c r="S3" s="224">
        <v>2020</v>
      </c>
      <c r="T3" s="26"/>
    </row>
    <row r="4" spans="1:20" ht="21.6" customHeight="1" x14ac:dyDescent="0.2">
      <c r="A4" s="10" t="s">
        <v>427</v>
      </c>
      <c r="B4" s="225">
        <v>43</v>
      </c>
      <c r="C4" s="225">
        <v>81</v>
      </c>
      <c r="D4" s="225">
        <v>78</v>
      </c>
      <c r="E4" s="225">
        <v>50</v>
      </c>
      <c r="F4" s="13">
        <v>647</v>
      </c>
      <c r="G4" s="22">
        <v>201</v>
      </c>
      <c r="H4" s="13">
        <v>226</v>
      </c>
      <c r="I4" s="13">
        <f t="shared" ref="I4:I11" si="0">SUM(G4:H4)</f>
        <v>427</v>
      </c>
      <c r="J4" s="55"/>
      <c r="K4" s="10" t="s">
        <v>428</v>
      </c>
      <c r="L4" s="194">
        <v>582</v>
      </c>
      <c r="M4" s="194">
        <v>2500</v>
      </c>
      <c r="N4" s="194">
        <v>3406</v>
      </c>
      <c r="O4" s="194">
        <v>5768</v>
      </c>
      <c r="P4" s="194">
        <v>4745</v>
      </c>
      <c r="Q4" s="226">
        <v>17381.418000000001</v>
      </c>
      <c r="R4" s="227">
        <v>65.13</v>
      </c>
      <c r="S4" s="146">
        <f>SUM(Q4:R4)</f>
        <v>17446.548000000003</v>
      </c>
      <c r="T4" s="26"/>
    </row>
    <row r="5" spans="1:20" ht="21.6" customHeight="1" x14ac:dyDescent="0.2">
      <c r="A5" s="10" t="s">
        <v>429</v>
      </c>
      <c r="B5" s="225">
        <v>0</v>
      </c>
      <c r="C5" s="225">
        <v>0</v>
      </c>
      <c r="D5" s="225">
        <v>1</v>
      </c>
      <c r="E5" s="225">
        <v>0</v>
      </c>
      <c r="F5" s="13">
        <v>3</v>
      </c>
      <c r="G5" s="22">
        <v>7</v>
      </c>
      <c r="H5" s="13">
        <v>0</v>
      </c>
      <c r="I5" s="13">
        <f t="shared" si="0"/>
        <v>7</v>
      </c>
      <c r="J5" s="55"/>
      <c r="K5" s="10" t="s">
        <v>430</v>
      </c>
      <c r="L5" s="210">
        <v>0.01</v>
      </c>
      <c r="M5" s="197">
        <v>1.7</v>
      </c>
      <c r="N5" s="225">
        <v>0</v>
      </c>
      <c r="O5" s="225">
        <v>0</v>
      </c>
      <c r="P5" s="225">
        <v>0</v>
      </c>
      <c r="Q5" s="228">
        <v>0</v>
      </c>
      <c r="R5" s="227">
        <v>0</v>
      </c>
      <c r="S5" s="227">
        <f>SUM(Q5:R5)</f>
        <v>0</v>
      </c>
      <c r="T5" s="26"/>
    </row>
    <row r="6" spans="1:20" ht="21.6" customHeight="1" x14ac:dyDescent="0.2">
      <c r="A6" s="10" t="s">
        <v>431</v>
      </c>
      <c r="B6" s="225">
        <v>43</v>
      </c>
      <c r="C6" s="225">
        <v>81</v>
      </c>
      <c r="D6" s="225">
        <v>79</v>
      </c>
      <c r="E6" s="225">
        <v>0</v>
      </c>
      <c r="F6" s="13">
        <v>650</v>
      </c>
      <c r="G6" s="22">
        <f>SUM(G4:G5)</f>
        <v>208</v>
      </c>
      <c r="H6" s="13">
        <v>226</v>
      </c>
      <c r="I6" s="13">
        <f t="shared" si="0"/>
        <v>434</v>
      </c>
      <c r="J6" s="55"/>
      <c r="K6" s="10" t="s">
        <v>432</v>
      </c>
      <c r="L6" s="225">
        <v>2</v>
      </c>
      <c r="M6" s="225">
        <v>2</v>
      </c>
      <c r="N6" s="225">
        <v>0</v>
      </c>
      <c r="O6" s="225">
        <v>0</v>
      </c>
      <c r="P6" s="225">
        <v>1</v>
      </c>
      <c r="Q6" s="228">
        <v>0</v>
      </c>
      <c r="R6" s="227">
        <v>0</v>
      </c>
      <c r="S6" s="227">
        <f>SUM(Q6:R6)</f>
        <v>0</v>
      </c>
      <c r="T6" s="26"/>
    </row>
    <row r="7" spans="1:20" ht="21.6" customHeight="1" x14ac:dyDescent="0.2">
      <c r="A7" s="10" t="s">
        <v>433</v>
      </c>
      <c r="B7" s="225">
        <v>41</v>
      </c>
      <c r="C7" s="225">
        <v>77</v>
      </c>
      <c r="D7" s="225">
        <v>77</v>
      </c>
      <c r="E7" s="225">
        <v>2</v>
      </c>
      <c r="F7" s="13">
        <v>34</v>
      </c>
      <c r="G7" s="22">
        <v>25</v>
      </c>
      <c r="H7" s="13">
        <v>3</v>
      </c>
      <c r="I7" s="13">
        <f t="shared" si="0"/>
        <v>28</v>
      </c>
      <c r="J7" s="55"/>
      <c r="K7" s="10" t="s">
        <v>434</v>
      </c>
      <c r="L7" s="225">
        <v>0</v>
      </c>
      <c r="M7" s="225">
        <v>0</v>
      </c>
      <c r="N7" s="225">
        <v>0</v>
      </c>
      <c r="O7" s="225">
        <v>0</v>
      </c>
      <c r="P7" s="225">
        <v>0</v>
      </c>
      <c r="Q7" s="228">
        <v>17.745000000000001</v>
      </c>
      <c r="R7" s="227">
        <v>0</v>
      </c>
      <c r="S7" s="227">
        <f>SUM(Q7:R7)</f>
        <v>17.745000000000001</v>
      </c>
      <c r="T7" s="26"/>
    </row>
    <row r="8" spans="1:20" ht="21.6" customHeight="1" x14ac:dyDescent="0.2">
      <c r="A8" s="10" t="s">
        <v>435</v>
      </c>
      <c r="B8" s="225">
        <v>1</v>
      </c>
      <c r="C8" s="225">
        <v>2</v>
      </c>
      <c r="D8" s="225">
        <v>0</v>
      </c>
      <c r="E8" s="225">
        <v>0</v>
      </c>
      <c r="F8" s="13">
        <v>0</v>
      </c>
      <c r="G8" s="22">
        <v>0</v>
      </c>
      <c r="H8" s="13">
        <v>0</v>
      </c>
      <c r="I8" s="13">
        <f t="shared" si="0"/>
        <v>0</v>
      </c>
      <c r="J8" s="55"/>
      <c r="K8" s="10" t="s">
        <v>436</v>
      </c>
      <c r="L8" s="225">
        <v>0</v>
      </c>
      <c r="M8" s="225">
        <v>31</v>
      </c>
      <c r="N8" s="225">
        <v>0</v>
      </c>
      <c r="O8" s="225">
        <v>0</v>
      </c>
      <c r="P8" s="225">
        <v>46</v>
      </c>
      <c r="Q8" s="228">
        <v>0</v>
      </c>
      <c r="R8" s="227">
        <v>38</v>
      </c>
      <c r="S8" s="227">
        <f>SUM(Q8:R8)</f>
        <v>38</v>
      </c>
      <c r="T8" s="26"/>
    </row>
    <row r="9" spans="1:20" ht="21.6" customHeight="1" x14ac:dyDescent="0.2">
      <c r="A9" s="10" t="s">
        <v>437</v>
      </c>
      <c r="B9" s="225">
        <v>1</v>
      </c>
      <c r="C9" s="225">
        <v>1</v>
      </c>
      <c r="D9" s="225">
        <v>0</v>
      </c>
      <c r="E9" s="225">
        <v>0</v>
      </c>
      <c r="F9" s="13">
        <v>4</v>
      </c>
      <c r="G9" s="22">
        <v>0</v>
      </c>
      <c r="H9" s="13">
        <v>0</v>
      </c>
      <c r="I9" s="13">
        <f t="shared" si="0"/>
        <v>0</v>
      </c>
      <c r="J9" s="26"/>
      <c r="K9" s="563" t="s">
        <v>438</v>
      </c>
      <c r="L9" s="563"/>
      <c r="M9" s="563"/>
      <c r="N9" s="563"/>
      <c r="O9" s="563"/>
      <c r="P9" s="563"/>
      <c r="Q9" s="563"/>
      <c r="R9" s="563"/>
      <c r="S9" s="563"/>
    </row>
    <row r="10" spans="1:20" ht="21.6" customHeight="1" x14ac:dyDescent="0.2">
      <c r="A10" s="10" t="s">
        <v>439</v>
      </c>
      <c r="B10" s="225">
        <v>0</v>
      </c>
      <c r="C10" s="225">
        <v>0</v>
      </c>
      <c r="D10" s="225">
        <v>2</v>
      </c>
      <c r="E10" s="225">
        <v>0</v>
      </c>
      <c r="F10" s="13">
        <v>0</v>
      </c>
      <c r="G10" s="22">
        <v>8</v>
      </c>
      <c r="H10" s="13">
        <v>0</v>
      </c>
      <c r="I10" s="13">
        <f t="shared" si="0"/>
        <v>8</v>
      </c>
      <c r="J10" s="26"/>
      <c r="K10" s="564"/>
      <c r="L10" s="564"/>
      <c r="M10" s="564"/>
      <c r="N10" s="564"/>
      <c r="O10" s="564"/>
      <c r="P10" s="564"/>
      <c r="Q10" s="564"/>
      <c r="R10" s="564"/>
      <c r="S10" s="564"/>
    </row>
    <row r="11" spans="1:20" ht="21.6" customHeight="1" x14ac:dyDescent="0.2">
      <c r="A11" s="10" t="s">
        <v>440</v>
      </c>
      <c r="B11" s="225">
        <v>0</v>
      </c>
      <c r="C11" s="225">
        <v>1</v>
      </c>
      <c r="D11" s="225">
        <v>0</v>
      </c>
      <c r="E11" s="225">
        <v>0</v>
      </c>
      <c r="F11" s="13">
        <v>4</v>
      </c>
      <c r="G11" s="22">
        <v>0</v>
      </c>
      <c r="H11" s="13">
        <v>2</v>
      </c>
      <c r="I11" s="13">
        <f t="shared" si="0"/>
        <v>2</v>
      </c>
      <c r="J11" s="26"/>
    </row>
    <row r="12" spans="1:20" ht="21.6" customHeight="1" x14ac:dyDescent="0.2">
      <c r="A12" s="627" t="s">
        <v>441</v>
      </c>
      <c r="B12" s="627"/>
      <c r="C12" s="627"/>
      <c r="D12" s="627"/>
      <c r="E12" s="627"/>
      <c r="F12" s="627"/>
      <c r="G12" s="627"/>
      <c r="H12" s="627"/>
      <c r="I12" s="627"/>
    </row>
    <row r="13" spans="1:20" ht="66.599999999999994" customHeight="1" x14ac:dyDescent="0.2">
      <c r="A13" s="613"/>
      <c r="B13" s="613"/>
      <c r="C13" s="613"/>
      <c r="D13" s="613"/>
      <c r="E13" s="613"/>
      <c r="F13" s="613"/>
      <c r="G13" s="613"/>
      <c r="H13" s="613"/>
      <c r="I13" s="613"/>
    </row>
    <row r="14" spans="1:20" ht="35.85" customHeight="1" x14ac:dyDescent="0.2">
      <c r="A14" s="7"/>
      <c r="B14" s="7"/>
      <c r="C14" s="7"/>
      <c r="D14" s="7"/>
      <c r="E14" s="7"/>
      <c r="F14" s="7"/>
      <c r="G14" s="23"/>
      <c r="H14" s="23"/>
      <c r="I14" s="23"/>
    </row>
    <row r="15" spans="1:20" ht="21.6" customHeight="1" x14ac:dyDescent="0.2">
      <c r="A15" s="7"/>
      <c r="B15" s="7"/>
      <c r="C15" s="7"/>
      <c r="D15" s="7"/>
      <c r="E15" s="7"/>
      <c r="F15" s="7"/>
      <c r="G15" s="23"/>
      <c r="H15" s="23"/>
      <c r="I15" s="23"/>
    </row>
    <row r="16" spans="1:20" ht="21.6" customHeight="1" x14ac:dyDescent="0.2">
      <c r="A16" s="7"/>
      <c r="B16" s="7"/>
      <c r="C16" s="7"/>
      <c r="D16" s="7"/>
      <c r="E16" s="7"/>
      <c r="F16" s="7"/>
      <c r="G16" s="23"/>
      <c r="H16" s="23"/>
      <c r="I16" s="23"/>
    </row>
    <row r="17" spans="1:9" ht="21.6" customHeight="1" x14ac:dyDescent="0.2">
      <c r="A17" s="7"/>
      <c r="B17" s="7"/>
      <c r="C17" s="7"/>
      <c r="D17" s="7"/>
      <c r="E17" s="7"/>
      <c r="F17" s="7"/>
      <c r="G17" s="23"/>
      <c r="H17" s="23"/>
      <c r="I17" s="23"/>
    </row>
    <row r="18" spans="1:9" ht="21.6" customHeight="1" x14ac:dyDescent="0.2">
      <c r="A18" s="7"/>
      <c r="B18" s="7"/>
      <c r="C18" s="7"/>
      <c r="D18" s="7"/>
      <c r="E18" s="7"/>
      <c r="F18" s="7"/>
      <c r="G18" s="23"/>
      <c r="H18" s="23"/>
      <c r="I18" s="23"/>
    </row>
    <row r="19" spans="1:9" ht="21.6" customHeight="1" x14ac:dyDescent="0.2">
      <c r="A19" s="7"/>
      <c r="B19" s="7"/>
      <c r="C19" s="7"/>
      <c r="D19" s="7"/>
      <c r="E19" s="7"/>
      <c r="F19" s="7"/>
      <c r="G19" s="23"/>
      <c r="H19" s="23"/>
      <c r="I19" s="23"/>
    </row>
    <row r="20" spans="1:9" ht="50.85" customHeight="1" x14ac:dyDescent="0.2">
      <c r="A20" s="7"/>
      <c r="G20" s="23"/>
      <c r="H20" s="23"/>
      <c r="I20" s="23"/>
    </row>
    <row r="21" spans="1:9" ht="14.1" customHeight="1" x14ac:dyDescent="0.2">
      <c r="A21" s="23"/>
      <c r="B21" s="23"/>
      <c r="C21" s="23"/>
      <c r="D21" s="23"/>
      <c r="E21" s="23"/>
      <c r="F21" s="23"/>
      <c r="G21" s="23"/>
      <c r="H21" s="23"/>
      <c r="I21" s="23"/>
    </row>
    <row r="22" spans="1:9" ht="14.1" customHeight="1" x14ac:dyDescent="0.2">
      <c r="A22" s="23"/>
      <c r="B22" s="23"/>
      <c r="C22" s="23"/>
      <c r="D22" s="23"/>
      <c r="E22" s="23"/>
      <c r="F22" s="23"/>
      <c r="G22" s="23"/>
      <c r="H22" s="23"/>
      <c r="I22" s="23"/>
    </row>
    <row r="23" spans="1:9" ht="14.1" customHeight="1" x14ac:dyDescent="0.2">
      <c r="A23" s="23"/>
      <c r="B23" s="23"/>
      <c r="C23" s="23"/>
      <c r="D23" s="23"/>
      <c r="E23" s="23"/>
      <c r="F23" s="23"/>
      <c r="G23" s="23"/>
      <c r="H23" s="23"/>
      <c r="I23" s="23"/>
    </row>
    <row r="24" spans="1:9" ht="14.1" customHeight="1" x14ac:dyDescent="0.2">
      <c r="A24" s="23"/>
      <c r="B24" s="23"/>
      <c r="C24" s="23"/>
      <c r="D24" s="23"/>
      <c r="E24" s="23"/>
      <c r="F24" s="23"/>
      <c r="G24" s="23"/>
      <c r="H24" s="23"/>
      <c r="I24" s="23"/>
    </row>
    <row r="25" spans="1:9" ht="41.65" customHeight="1" x14ac:dyDescent="0.2">
      <c r="A25" s="23"/>
      <c r="B25" s="34"/>
      <c r="C25" s="34"/>
      <c r="E25" s="23"/>
      <c r="F25" s="23"/>
      <c r="G25" s="23"/>
      <c r="H25" s="23"/>
      <c r="I25" s="23"/>
    </row>
    <row r="26" spans="1:9" ht="41.65" customHeight="1" x14ac:dyDescent="0.2">
      <c r="A26" s="23"/>
      <c r="B26" s="34"/>
      <c r="C26" s="34"/>
      <c r="D26" s="33"/>
      <c r="E26" s="23"/>
      <c r="F26" s="23"/>
      <c r="G26" s="23"/>
      <c r="H26" s="23"/>
      <c r="I26" s="23"/>
    </row>
    <row r="27" spans="1:9" ht="41.65" customHeight="1" x14ac:dyDescent="0.2">
      <c r="A27" s="23"/>
      <c r="B27" s="34"/>
      <c r="C27" s="34"/>
      <c r="D27" s="34"/>
      <c r="E27" s="23"/>
      <c r="F27" s="23"/>
      <c r="G27" s="23"/>
      <c r="H27" s="23"/>
      <c r="I27" s="23"/>
    </row>
    <row r="28" spans="1:9" ht="41.65" customHeight="1" x14ac:dyDescent="0.2">
      <c r="A28" s="23"/>
      <c r="B28" s="34"/>
      <c r="C28" s="34"/>
      <c r="D28" s="34"/>
      <c r="E28" s="23"/>
      <c r="F28" s="23"/>
      <c r="G28" s="23"/>
      <c r="H28" s="23"/>
      <c r="I28" s="23"/>
    </row>
    <row r="29" spans="1:9" ht="134.1" customHeight="1" x14ac:dyDescent="0.2">
      <c r="A29" s="23"/>
      <c r="B29" s="34"/>
      <c r="C29" s="34"/>
      <c r="D29" s="34"/>
      <c r="E29" s="23"/>
      <c r="F29" s="23"/>
      <c r="G29" s="23"/>
      <c r="H29" s="23"/>
      <c r="I29" s="23"/>
    </row>
    <row r="30" spans="1:9" ht="41.65" customHeight="1" x14ac:dyDescent="0.2">
      <c r="A30" s="23"/>
      <c r="B30" s="34"/>
      <c r="C30" s="34"/>
      <c r="D30" s="34"/>
      <c r="E30" s="23"/>
      <c r="F30" s="23"/>
      <c r="G30" s="23"/>
      <c r="H30" s="23"/>
      <c r="I30" s="23"/>
    </row>
    <row r="31" spans="1:9" ht="41.65" customHeight="1" x14ac:dyDescent="0.2">
      <c r="A31" s="23"/>
      <c r="B31" s="34"/>
      <c r="C31" s="34"/>
      <c r="D31" s="34"/>
      <c r="E31" s="23"/>
      <c r="F31" s="23"/>
      <c r="G31" s="23"/>
      <c r="H31" s="23"/>
      <c r="I31" s="23"/>
    </row>
    <row r="32" spans="1:9" ht="41.65" customHeight="1" x14ac:dyDescent="0.2">
      <c r="A32" s="23"/>
      <c r="B32" s="34"/>
      <c r="C32" s="34"/>
      <c r="D32" s="34"/>
      <c r="E32" s="23"/>
      <c r="F32" s="23"/>
      <c r="G32" s="23"/>
      <c r="H32" s="23"/>
      <c r="I32" s="23"/>
    </row>
    <row r="33" spans="1:9" ht="41.65" customHeight="1" x14ac:dyDescent="0.2">
      <c r="A33" s="23"/>
      <c r="B33" s="34"/>
      <c r="C33" s="34"/>
      <c r="D33" s="34"/>
      <c r="E33" s="23"/>
      <c r="F33" s="23"/>
      <c r="G33" s="23"/>
      <c r="H33" s="23"/>
      <c r="I33" s="23"/>
    </row>
    <row r="34" spans="1:9" ht="41.65" customHeight="1" x14ac:dyDescent="0.2">
      <c r="A34" s="23"/>
      <c r="B34" s="34"/>
      <c r="C34" s="34"/>
      <c r="D34" s="34"/>
      <c r="E34" s="23"/>
      <c r="F34" s="23"/>
      <c r="G34" s="23"/>
      <c r="H34" s="23"/>
      <c r="I34" s="23"/>
    </row>
    <row r="35" spans="1:9" ht="41.65" customHeight="1" x14ac:dyDescent="0.2">
      <c r="A35" s="23"/>
      <c r="B35" s="34"/>
      <c r="C35" s="34"/>
      <c r="D35" s="34"/>
      <c r="E35" s="23"/>
      <c r="F35" s="23"/>
      <c r="G35" s="23"/>
      <c r="H35" s="23"/>
      <c r="I35" s="23"/>
    </row>
    <row r="36" spans="1:9" ht="41.65" customHeight="1" x14ac:dyDescent="0.2">
      <c r="A36" s="23"/>
      <c r="B36" s="34"/>
      <c r="C36" s="34"/>
      <c r="D36" s="34"/>
      <c r="E36" s="23"/>
      <c r="F36" s="23"/>
      <c r="G36" s="23"/>
      <c r="H36" s="23"/>
      <c r="I36" s="23"/>
    </row>
    <row r="37" spans="1:9" ht="41.65" customHeight="1" x14ac:dyDescent="0.2">
      <c r="A37" s="23"/>
      <c r="B37" s="34"/>
      <c r="C37" s="34"/>
      <c r="D37" s="34"/>
      <c r="E37" s="23"/>
      <c r="F37" s="23"/>
      <c r="G37" s="23"/>
      <c r="H37" s="23"/>
      <c r="I37" s="23"/>
    </row>
    <row r="38" spans="1:9" ht="41.65" customHeight="1" x14ac:dyDescent="0.2">
      <c r="A38" s="23"/>
      <c r="B38" s="34"/>
      <c r="C38" s="34"/>
      <c r="D38" s="34"/>
      <c r="E38" s="23"/>
      <c r="F38" s="23"/>
      <c r="G38" s="23"/>
      <c r="H38" s="23"/>
      <c r="I38" s="23"/>
    </row>
    <row r="39" spans="1:9" ht="41.65" customHeight="1" x14ac:dyDescent="0.2">
      <c r="A39" s="23"/>
      <c r="B39" s="34"/>
      <c r="C39" s="34"/>
      <c r="D39" s="34"/>
      <c r="E39" s="23"/>
      <c r="F39" s="23"/>
      <c r="G39" s="23"/>
      <c r="H39" s="23"/>
      <c r="I39" s="23"/>
    </row>
    <row r="40" spans="1:9" ht="41.65" customHeight="1" x14ac:dyDescent="0.2">
      <c r="A40" s="23"/>
      <c r="B40" s="34"/>
      <c r="C40" s="34"/>
      <c r="D40" s="34"/>
      <c r="E40" s="23"/>
      <c r="F40" s="23"/>
      <c r="G40" s="23"/>
      <c r="H40" s="23"/>
      <c r="I40" s="23"/>
    </row>
    <row r="41" spans="1:9" ht="41.65" customHeight="1" x14ac:dyDescent="0.2">
      <c r="A41" s="23"/>
      <c r="B41" s="34"/>
      <c r="C41" s="34"/>
      <c r="D41" s="34"/>
      <c r="E41" s="23"/>
      <c r="F41" s="23"/>
      <c r="G41" s="23"/>
      <c r="H41" s="23"/>
      <c r="I41" s="23"/>
    </row>
    <row r="42" spans="1:9" ht="41.65" customHeight="1" x14ac:dyDescent="0.2">
      <c r="A42" s="23"/>
      <c r="B42" s="34"/>
      <c r="C42" s="34"/>
      <c r="D42" s="34"/>
      <c r="E42" s="23"/>
      <c r="F42" s="23"/>
      <c r="G42" s="23"/>
      <c r="H42" s="23"/>
      <c r="I42" s="23"/>
    </row>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sheetData>
  <sheetProtection algorithmName="SHA-512" hashValue="SH5ocx5UcEw9xSJHXWpiMQ5wV3KalXEUw/i/s117r+BAjbaBQc/zKwfuE9LoH/HVRqXilXZJm1uoico+ncoCsg==" saltValue="7ba49gQLeXCPSghM/YaXmw==" spinCount="100000" sheet="1" objects="1" scenarios="1"/>
  <mergeCells count="3">
    <mergeCell ref="A1:E1"/>
    <mergeCell ref="K9:S10"/>
    <mergeCell ref="A12: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8"/>
  <sheetViews>
    <sheetView showGridLines="0" showRuler="0" workbookViewId="0">
      <selection activeCell="F11" sqref="F11:F13"/>
    </sheetView>
  </sheetViews>
  <sheetFormatPr defaultColWidth="13.140625" defaultRowHeight="12.75" x14ac:dyDescent="0.2"/>
  <cols>
    <col min="1" max="1" width="29.42578125" customWidth="1"/>
    <col min="2" max="2" width="24.5703125" customWidth="1"/>
    <col min="3" max="6" width="17.28515625" customWidth="1"/>
    <col min="7" max="7" width="8.140625" customWidth="1"/>
    <col min="8" max="8" width="35.5703125" customWidth="1"/>
    <col min="9" max="9" width="0" hidden="1"/>
    <col min="15" max="15" width="7.28515625" customWidth="1"/>
    <col min="21" max="21" width="65.140625" customWidth="1"/>
  </cols>
  <sheetData>
    <row r="1" spans="1:22" ht="15.75" x14ac:dyDescent="0.25">
      <c r="A1" s="624" t="s">
        <v>442</v>
      </c>
      <c r="B1" s="624"/>
      <c r="C1" s="624"/>
      <c r="D1" s="624"/>
      <c r="E1" s="624"/>
      <c r="F1" s="23"/>
      <c r="G1" s="23"/>
    </row>
    <row r="2" spans="1:22" x14ac:dyDescent="0.2">
      <c r="A2" s="663"/>
      <c r="B2" s="613"/>
      <c r="C2" s="613"/>
      <c r="D2" s="613"/>
      <c r="E2" s="613"/>
      <c r="F2" s="24"/>
      <c r="G2" s="23"/>
    </row>
    <row r="3" spans="1:22" ht="43.35" customHeight="1" x14ac:dyDescent="0.2">
      <c r="A3" s="576" t="s">
        <v>1163</v>
      </c>
      <c r="B3" s="581" t="s">
        <v>142</v>
      </c>
      <c r="C3" s="664" t="s">
        <v>443</v>
      </c>
      <c r="D3" s="561"/>
      <c r="E3" s="561"/>
      <c r="F3" s="581" t="s">
        <v>444</v>
      </c>
      <c r="G3" s="11"/>
      <c r="H3" s="39" t="s">
        <v>445</v>
      </c>
      <c r="I3" s="230">
        <v>2015</v>
      </c>
      <c r="J3" s="230">
        <v>2016</v>
      </c>
      <c r="K3" s="230">
        <v>2017</v>
      </c>
      <c r="L3" s="230">
        <v>2018</v>
      </c>
      <c r="M3" s="230">
        <v>2019</v>
      </c>
      <c r="N3" s="230">
        <v>2020</v>
      </c>
      <c r="O3" s="55"/>
      <c r="P3" s="666" t="s">
        <v>446</v>
      </c>
      <c r="Q3" s="667"/>
      <c r="R3" s="667"/>
      <c r="S3" s="667"/>
      <c r="T3" s="667"/>
      <c r="U3" s="668"/>
      <c r="V3" s="26"/>
    </row>
    <row r="4" spans="1:22" ht="46.7" customHeight="1" x14ac:dyDescent="0.2">
      <c r="A4" s="577"/>
      <c r="B4" s="581"/>
      <c r="C4" s="4" t="s">
        <v>447</v>
      </c>
      <c r="D4" s="4" t="s">
        <v>448</v>
      </c>
      <c r="E4" s="4" t="s">
        <v>449</v>
      </c>
      <c r="F4" s="581"/>
      <c r="G4" s="11"/>
      <c r="H4" s="8" t="s">
        <v>450</v>
      </c>
      <c r="I4" s="231">
        <v>340.1</v>
      </c>
      <c r="J4" s="231">
        <v>335.9</v>
      </c>
      <c r="K4" s="231">
        <v>346</v>
      </c>
      <c r="L4" s="232">
        <v>299.7</v>
      </c>
      <c r="M4" s="233">
        <v>320600000</v>
      </c>
      <c r="N4" s="234">
        <v>284912221.443739</v>
      </c>
      <c r="O4" s="55"/>
      <c r="P4" s="665" t="s">
        <v>451</v>
      </c>
      <c r="Q4" s="665"/>
      <c r="R4" s="665"/>
      <c r="S4" s="665"/>
      <c r="T4" s="665"/>
      <c r="U4" s="665"/>
      <c r="V4" s="26"/>
    </row>
    <row r="5" spans="1:22" ht="30" customHeight="1" x14ac:dyDescent="0.2">
      <c r="A5" s="623" t="s">
        <v>154</v>
      </c>
      <c r="B5" s="236" t="s">
        <v>72</v>
      </c>
      <c r="C5" s="237">
        <f>SUM(C6:C7)</f>
        <v>17984814.82</v>
      </c>
      <c r="D5" s="237">
        <f>SUM(D6:D7)</f>
        <v>0</v>
      </c>
      <c r="E5" s="237">
        <f>SUM(E6:E7)</f>
        <v>0</v>
      </c>
      <c r="F5" s="237">
        <f>SUM(F6:F7)</f>
        <v>17984814.82</v>
      </c>
      <c r="G5" s="11"/>
      <c r="H5" s="8" t="s">
        <v>452</v>
      </c>
      <c r="I5" s="231">
        <v>135.9</v>
      </c>
      <c r="J5" s="231">
        <v>96.8</v>
      </c>
      <c r="K5" s="231">
        <v>110.9</v>
      </c>
      <c r="L5" s="231">
        <v>112.1</v>
      </c>
      <c r="M5" s="238">
        <v>120700000</v>
      </c>
      <c r="N5" s="239">
        <v>116235571.81999999</v>
      </c>
      <c r="O5" s="55"/>
      <c r="P5" s="665"/>
      <c r="Q5" s="665"/>
      <c r="R5" s="665"/>
      <c r="S5" s="665"/>
      <c r="T5" s="665"/>
      <c r="U5" s="665"/>
      <c r="V5" s="26"/>
    </row>
    <row r="6" spans="1:22" ht="30" customHeight="1" x14ac:dyDescent="0.2">
      <c r="A6" s="623"/>
      <c r="B6" s="118" t="s">
        <v>41</v>
      </c>
      <c r="C6" s="240">
        <v>9569103</v>
      </c>
      <c r="D6" s="225">
        <v>0</v>
      </c>
      <c r="E6" s="225">
        <v>0</v>
      </c>
      <c r="F6" s="240">
        <v>9569103</v>
      </c>
      <c r="G6" s="57"/>
      <c r="H6" s="563" t="s">
        <v>453</v>
      </c>
      <c r="I6" s="563"/>
      <c r="J6" s="563"/>
      <c r="K6" s="563"/>
      <c r="L6" s="563"/>
      <c r="M6" s="563"/>
      <c r="N6" s="563"/>
      <c r="P6" s="665"/>
      <c r="Q6" s="665"/>
      <c r="R6" s="665"/>
      <c r="S6" s="665"/>
      <c r="T6" s="665"/>
      <c r="U6" s="665"/>
      <c r="V6" s="26"/>
    </row>
    <row r="7" spans="1:22" ht="30" customHeight="1" x14ac:dyDescent="0.2">
      <c r="A7" s="623"/>
      <c r="B7" s="118" t="s">
        <v>158</v>
      </c>
      <c r="C7" s="240">
        <v>8415711.8200000003</v>
      </c>
      <c r="D7" s="225">
        <v>0</v>
      </c>
      <c r="E7" s="225">
        <v>0</v>
      </c>
      <c r="F7" s="240">
        <v>8415711.8200000003</v>
      </c>
      <c r="G7" s="57"/>
      <c r="H7" s="564"/>
      <c r="I7" s="564"/>
      <c r="J7" s="564"/>
      <c r="K7" s="564"/>
      <c r="L7" s="564"/>
      <c r="M7" s="564"/>
      <c r="N7" s="564"/>
      <c r="P7" s="669" t="s">
        <v>454</v>
      </c>
      <c r="Q7" s="670"/>
      <c r="R7" s="670"/>
      <c r="S7" s="670"/>
      <c r="T7" s="670"/>
      <c r="U7" s="671"/>
      <c r="V7" s="26"/>
    </row>
    <row r="8" spans="1:22" ht="30" customHeight="1" x14ac:dyDescent="0.2">
      <c r="A8" s="625" t="s">
        <v>160</v>
      </c>
      <c r="B8" s="92" t="s">
        <v>79</v>
      </c>
      <c r="C8" s="237">
        <f>C9</f>
        <v>1658790</v>
      </c>
      <c r="D8" s="241">
        <f>D9</f>
        <v>0</v>
      </c>
      <c r="E8" s="241">
        <f>E9</f>
        <v>0</v>
      </c>
      <c r="F8" s="237">
        <f>F9</f>
        <v>1658790</v>
      </c>
      <c r="G8" s="57"/>
      <c r="P8" s="672"/>
      <c r="Q8" s="673"/>
      <c r="R8" s="673"/>
      <c r="S8" s="673"/>
      <c r="T8" s="673"/>
      <c r="U8" s="674"/>
      <c r="V8" s="26"/>
    </row>
    <row r="9" spans="1:22" ht="30" customHeight="1" x14ac:dyDescent="0.2">
      <c r="A9" s="626"/>
      <c r="B9" s="118" t="s">
        <v>19</v>
      </c>
      <c r="C9" s="240">
        <v>1658790</v>
      </c>
      <c r="D9" s="225">
        <v>0</v>
      </c>
      <c r="E9" s="225">
        <v>0</v>
      </c>
      <c r="F9" s="240">
        <v>1658790</v>
      </c>
      <c r="G9" s="57"/>
      <c r="P9" s="665" t="s">
        <v>455</v>
      </c>
      <c r="Q9" s="665"/>
      <c r="R9" s="665"/>
      <c r="S9" s="665"/>
      <c r="T9" s="665"/>
      <c r="U9" s="665"/>
      <c r="V9" s="26"/>
    </row>
    <row r="10" spans="1:22" ht="30" customHeight="1" x14ac:dyDescent="0.2">
      <c r="A10" s="626"/>
      <c r="B10" s="92" t="s">
        <v>82</v>
      </c>
      <c r="C10" s="192">
        <f>SUM(C11:C13)</f>
        <v>5208995</v>
      </c>
      <c r="D10" s="241">
        <f>SUM(D11:D13)</f>
        <v>0</v>
      </c>
      <c r="E10" s="192">
        <f>SUM(E11:E13)</f>
        <v>595138</v>
      </c>
      <c r="F10" s="192">
        <f>SUM(F11:F13)</f>
        <v>5804133</v>
      </c>
      <c r="G10" s="57"/>
      <c r="P10" s="665"/>
      <c r="Q10" s="665"/>
      <c r="R10" s="665"/>
      <c r="S10" s="665"/>
      <c r="T10" s="665"/>
      <c r="U10" s="665"/>
      <c r="V10" s="26"/>
    </row>
    <row r="11" spans="1:22" ht="30" customHeight="1" x14ac:dyDescent="0.2">
      <c r="A11" s="626"/>
      <c r="B11" s="118" t="s">
        <v>163</v>
      </c>
      <c r="C11" s="194">
        <v>869953</v>
      </c>
      <c r="D11" s="225">
        <v>0</v>
      </c>
      <c r="E11" s="194">
        <v>595138</v>
      </c>
      <c r="F11" s="194">
        <v>1465091</v>
      </c>
      <c r="G11" s="57"/>
      <c r="P11" s="563" t="s">
        <v>456</v>
      </c>
      <c r="Q11" s="563"/>
      <c r="R11" s="563"/>
      <c r="S11" s="563"/>
      <c r="T11" s="563"/>
      <c r="U11" s="563"/>
    </row>
    <row r="12" spans="1:22" ht="30" customHeight="1" x14ac:dyDescent="0.2">
      <c r="A12" s="626"/>
      <c r="B12" s="118" t="s">
        <v>164</v>
      </c>
      <c r="C12" s="194">
        <v>752073</v>
      </c>
      <c r="D12" s="225">
        <v>0</v>
      </c>
      <c r="E12" s="225">
        <v>0</v>
      </c>
      <c r="F12" s="194">
        <v>752073</v>
      </c>
      <c r="G12" s="57"/>
      <c r="P12" s="564"/>
      <c r="Q12" s="564"/>
      <c r="R12" s="564"/>
      <c r="S12" s="564"/>
      <c r="T12" s="564"/>
      <c r="U12" s="564"/>
    </row>
    <row r="13" spans="1:22" ht="30" customHeight="1" x14ac:dyDescent="0.2">
      <c r="A13" s="626"/>
      <c r="B13" s="118" t="s">
        <v>29</v>
      </c>
      <c r="C13" s="194">
        <v>3586969</v>
      </c>
      <c r="D13" s="225">
        <v>0</v>
      </c>
      <c r="E13" s="225">
        <v>0</v>
      </c>
      <c r="F13" s="194">
        <v>3586969</v>
      </c>
      <c r="G13" s="57"/>
    </row>
    <row r="14" spans="1:22" ht="30" customHeight="1" x14ac:dyDescent="0.2">
      <c r="A14" s="626"/>
      <c r="B14" s="92" t="s">
        <v>86</v>
      </c>
      <c r="C14" s="192">
        <f>C15</f>
        <v>28023144</v>
      </c>
      <c r="D14" s="241">
        <f>D15</f>
        <v>0</v>
      </c>
      <c r="E14" s="241">
        <f>E15</f>
        <v>0</v>
      </c>
      <c r="F14" s="192">
        <f>F15</f>
        <v>28023144</v>
      </c>
      <c r="G14" s="57"/>
    </row>
    <row r="15" spans="1:22" ht="30" customHeight="1" x14ac:dyDescent="0.2">
      <c r="A15" s="622"/>
      <c r="B15" s="118" t="s">
        <v>25</v>
      </c>
      <c r="C15" s="194">
        <v>28023144</v>
      </c>
      <c r="D15" s="225">
        <v>0</v>
      </c>
      <c r="E15" s="225">
        <v>0</v>
      </c>
      <c r="F15" s="194">
        <v>28023144</v>
      </c>
      <c r="G15" s="57"/>
    </row>
    <row r="16" spans="1:22" ht="30" customHeight="1" x14ac:dyDescent="0.2">
      <c r="A16" s="623" t="s">
        <v>166</v>
      </c>
      <c r="B16" s="92" t="s">
        <v>89</v>
      </c>
      <c r="C16" s="192">
        <f>C17</f>
        <v>607945</v>
      </c>
      <c r="D16" s="241">
        <f>D17</f>
        <v>0</v>
      </c>
      <c r="E16" s="241">
        <f>E17</f>
        <v>0</v>
      </c>
      <c r="F16" s="192">
        <f>F17</f>
        <v>607945</v>
      </c>
      <c r="G16" s="57"/>
    </row>
    <row r="17" spans="1:7" ht="30" customHeight="1" x14ac:dyDescent="0.2">
      <c r="A17" s="623"/>
      <c r="B17" s="118" t="s">
        <v>11</v>
      </c>
      <c r="C17" s="194">
        <v>607945</v>
      </c>
      <c r="D17" s="225">
        <v>0</v>
      </c>
      <c r="E17" s="225">
        <v>0</v>
      </c>
      <c r="F17" s="225">
        <v>607945</v>
      </c>
      <c r="G17" s="57"/>
    </row>
    <row r="18" spans="1:7" ht="30" customHeight="1" x14ac:dyDescent="0.2">
      <c r="A18" s="623"/>
      <c r="B18" s="92" t="s">
        <v>94</v>
      </c>
      <c r="C18" s="237">
        <f>C19</f>
        <v>15123620</v>
      </c>
      <c r="D18" s="241">
        <f>D19</f>
        <v>0</v>
      </c>
      <c r="E18" s="241">
        <f>E19</f>
        <v>0</v>
      </c>
      <c r="F18" s="237">
        <f>F19</f>
        <v>15123620</v>
      </c>
      <c r="G18" s="57"/>
    </row>
    <row r="19" spans="1:7" ht="30" customHeight="1" x14ac:dyDescent="0.2">
      <c r="A19" s="623"/>
      <c r="B19" s="118" t="s">
        <v>167</v>
      </c>
      <c r="C19" s="240">
        <v>15123620</v>
      </c>
      <c r="D19" s="225">
        <v>0</v>
      </c>
      <c r="E19" s="225">
        <v>0</v>
      </c>
      <c r="F19" s="240">
        <v>15123620</v>
      </c>
      <c r="G19" s="57"/>
    </row>
    <row r="20" spans="1:7" ht="30" customHeight="1" x14ac:dyDescent="0.2">
      <c r="A20" s="623"/>
      <c r="B20" s="92" t="s">
        <v>97</v>
      </c>
      <c r="C20" s="237">
        <f>C21</f>
        <v>4081607</v>
      </c>
      <c r="D20" s="241">
        <f>D21</f>
        <v>0</v>
      </c>
      <c r="E20" s="241">
        <f>E21</f>
        <v>0</v>
      </c>
      <c r="F20" s="237">
        <f>F21</f>
        <v>4081607</v>
      </c>
      <c r="G20" s="57"/>
    </row>
    <row r="21" spans="1:7" ht="30" customHeight="1" x14ac:dyDescent="0.2">
      <c r="A21" s="623"/>
      <c r="B21" s="118" t="s">
        <v>20</v>
      </c>
      <c r="C21" s="240">
        <v>4081607</v>
      </c>
      <c r="D21" s="225">
        <v>0</v>
      </c>
      <c r="E21" s="225">
        <v>0</v>
      </c>
      <c r="F21" s="240">
        <v>4081607</v>
      </c>
      <c r="G21" s="57"/>
    </row>
    <row r="22" spans="1:7" ht="30" customHeight="1" x14ac:dyDescent="0.2">
      <c r="A22" s="623" t="s">
        <v>168</v>
      </c>
      <c r="B22" s="92" t="s">
        <v>76</v>
      </c>
      <c r="C22" s="237">
        <f>SUM(C23:C24)</f>
        <v>42113674</v>
      </c>
      <c r="D22" s="192">
        <f>SUM(D23:D24)</f>
        <v>275163</v>
      </c>
      <c r="E22" s="192">
        <f>SUM(E23:E24)</f>
        <v>562681</v>
      </c>
      <c r="F22" s="237">
        <f>SUM(F23:F24)</f>
        <v>42951518</v>
      </c>
      <c r="G22" s="57"/>
    </row>
    <row r="23" spans="1:7" ht="30" customHeight="1" x14ac:dyDescent="0.2">
      <c r="A23" s="623"/>
      <c r="B23" s="118" t="s">
        <v>169</v>
      </c>
      <c r="C23" s="240">
        <v>40288195</v>
      </c>
      <c r="D23" s="225">
        <v>0</v>
      </c>
      <c r="E23" s="225">
        <v>0</v>
      </c>
      <c r="F23" s="240">
        <v>40288195</v>
      </c>
      <c r="G23" s="57"/>
    </row>
    <row r="24" spans="1:7" ht="30" customHeight="1" x14ac:dyDescent="0.2">
      <c r="A24" s="623"/>
      <c r="B24" s="118" t="s">
        <v>14</v>
      </c>
      <c r="C24" s="240">
        <v>1825479</v>
      </c>
      <c r="D24" s="194">
        <v>275163</v>
      </c>
      <c r="E24" s="194">
        <v>562681</v>
      </c>
      <c r="F24" s="240">
        <v>2663323</v>
      </c>
      <c r="G24" s="57"/>
    </row>
    <row r="25" spans="1:7" ht="30" customHeight="1" x14ac:dyDescent="0.2">
      <c r="A25" s="42" t="s">
        <v>170</v>
      </c>
      <c r="B25" s="120" t="s">
        <v>457</v>
      </c>
      <c r="C25" s="192">
        <f>SUM(C5,C8,C10,C14,C16,C18,C20,C22)</f>
        <v>114802589.81999999</v>
      </c>
      <c r="D25" s="192">
        <f>SUM(D5,D8,D10,D14,D16,D18,D20,D22)</f>
        <v>275163</v>
      </c>
      <c r="E25" s="192">
        <f>SUM(E5,E8,E10,E14,E16,E18,E20,E22)</f>
        <v>1157819</v>
      </c>
      <c r="F25" s="192">
        <f>SUM(F5,F8,F10,F14,F16,F18,F20,F22)</f>
        <v>116235571.81999999</v>
      </c>
      <c r="G25" s="57"/>
    </row>
    <row r="26" spans="1:7" ht="50.1" customHeight="1" x14ac:dyDescent="0.2">
      <c r="A26" s="563" t="s">
        <v>453</v>
      </c>
      <c r="B26" s="563"/>
      <c r="C26" s="563"/>
      <c r="D26" s="563"/>
      <c r="E26" s="563"/>
      <c r="F26" s="563"/>
      <c r="G26" s="23"/>
    </row>
    <row r="27" spans="1:7" ht="30" customHeight="1" x14ac:dyDescent="0.2">
      <c r="A27" s="30"/>
      <c r="B27" s="30"/>
      <c r="C27" s="30"/>
      <c r="D27" s="30"/>
      <c r="E27" s="30"/>
      <c r="F27" s="30"/>
      <c r="G27" s="23"/>
    </row>
    <row r="28" spans="1:7" ht="30" customHeight="1" x14ac:dyDescent="0.2">
      <c r="A28" s="7"/>
      <c r="B28" s="7"/>
      <c r="C28" s="7"/>
      <c r="D28" s="7"/>
      <c r="E28" s="7"/>
      <c r="F28" s="23"/>
      <c r="G28" s="34"/>
    </row>
    <row r="29" spans="1:7" ht="61.7" customHeight="1" x14ac:dyDescent="0.2">
      <c r="A29" s="7"/>
      <c r="B29" s="7"/>
      <c r="C29" s="7"/>
      <c r="D29" s="7"/>
      <c r="E29" s="7"/>
      <c r="F29" s="23"/>
      <c r="G29" s="23"/>
    </row>
    <row r="30" spans="1:7" ht="66.599999999999994" customHeight="1" x14ac:dyDescent="0.2">
      <c r="A30" s="7"/>
      <c r="B30" s="7"/>
      <c r="C30" s="7"/>
      <c r="D30" s="7"/>
      <c r="E30" s="7"/>
      <c r="F30" s="23"/>
      <c r="G30" s="23"/>
    </row>
    <row r="31" spans="1:7" ht="44.1" customHeight="1" x14ac:dyDescent="0.2">
      <c r="A31" s="7"/>
      <c r="F31" s="23"/>
      <c r="G31" s="23"/>
    </row>
    <row r="32" spans="1:7" ht="21.6" customHeight="1" x14ac:dyDescent="0.2">
      <c r="G32" s="23"/>
    </row>
    <row r="33" spans="7:7" ht="21.6" customHeight="1" x14ac:dyDescent="0.2">
      <c r="G33" s="23"/>
    </row>
    <row r="34" spans="7:7" ht="35.1" customHeight="1" x14ac:dyDescent="0.2">
      <c r="G34" s="23"/>
    </row>
    <row r="35" spans="7:7" ht="15" customHeight="1" x14ac:dyDescent="0.2"/>
    <row r="36" spans="7:7" ht="15" customHeight="1" x14ac:dyDescent="0.2"/>
    <row r="37" spans="7:7" ht="15" customHeight="1" x14ac:dyDescent="0.2"/>
    <row r="38" spans="7:7" ht="15" customHeight="1" x14ac:dyDescent="0.2"/>
  </sheetData>
  <sheetProtection algorithmName="SHA-512" hashValue="3LS0NW1LCmYlHV9EjheDCg553ZKWyUurIh7EcFYAz0j32BSVAUor+9IJQRzZV2Yhw2i1WlSnhDtZL4OP4YWlcg==" saltValue="Lb4L8b3AmDN37tQz9HE2Yg==" spinCount="100000" sheet="1" objects="1" scenarios="1"/>
  <mergeCells count="17">
    <mergeCell ref="P4:U6"/>
    <mergeCell ref="P3:U3"/>
    <mergeCell ref="A22:A24"/>
    <mergeCell ref="A26:F26"/>
    <mergeCell ref="P11:U12"/>
    <mergeCell ref="P9:U10"/>
    <mergeCell ref="P7:U8"/>
    <mergeCell ref="A5:A7"/>
    <mergeCell ref="F3:F4"/>
    <mergeCell ref="H6:N7"/>
    <mergeCell ref="A8:A15"/>
    <mergeCell ref="A16:A21"/>
    <mergeCell ref="A1:E1"/>
    <mergeCell ref="A2:E2"/>
    <mergeCell ref="C3:E3"/>
    <mergeCell ref="B3:B4"/>
    <mergeCell ref="A3:A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D58"/>
  <sheetViews>
    <sheetView showGridLines="0" showRuler="0" workbookViewId="0">
      <selection activeCell="E10" sqref="E10:E12"/>
    </sheetView>
  </sheetViews>
  <sheetFormatPr defaultColWidth="13.140625" defaultRowHeight="12.75" x14ac:dyDescent="0.2"/>
  <cols>
    <col min="1" max="1" width="46.7109375" customWidth="1"/>
    <col min="2" max="10" width="15.7109375" customWidth="1"/>
    <col min="11" max="11" width="6.7109375" customWidth="1"/>
    <col min="12" max="12" width="22.42578125" customWidth="1"/>
    <col min="13" max="13" width="19.85546875" customWidth="1"/>
    <col min="22" max="22" width="8.140625" customWidth="1"/>
    <col min="23" max="23" width="19.85546875" customWidth="1"/>
    <col min="24" max="24" width="20.85546875" customWidth="1"/>
    <col min="30" max="30" width="7.42578125" customWidth="1"/>
    <col min="31" max="31" width="20" customWidth="1"/>
    <col min="32" max="32" width="20.42578125" customWidth="1"/>
    <col min="39" max="39" width="7.7109375" customWidth="1"/>
    <col min="40" max="41" width="19.140625" customWidth="1"/>
    <col min="43" max="43" width="13.5703125" customWidth="1"/>
    <col min="47" max="47" width="6.5703125" customWidth="1"/>
    <col min="48" max="48" width="43.85546875" customWidth="1"/>
    <col min="49" max="49" width="0" hidden="1"/>
    <col min="55" max="55" width="9.28515625" customWidth="1"/>
    <col min="56" max="56" width="46.42578125" customWidth="1"/>
    <col min="57" max="57" width="0" hidden="1"/>
    <col min="63" max="63" width="7.5703125" customWidth="1"/>
    <col min="67" max="67" width="8.28515625" customWidth="1"/>
    <col min="68" max="68" width="42" customWidth="1"/>
    <col min="69" max="69" width="30.5703125" customWidth="1"/>
    <col min="70" max="70" width="7.42578125" customWidth="1"/>
    <col min="71" max="71" width="30.140625" customWidth="1"/>
    <col min="72" max="72" width="0" hidden="1"/>
    <col min="78" max="78" width="8.140625" customWidth="1"/>
    <col min="79" max="79" width="33.140625" customWidth="1"/>
    <col min="80" max="80" width="0" hidden="1"/>
    <col min="86" max="86" width="9" customWidth="1"/>
    <col min="87" max="87" width="18.7109375" customWidth="1"/>
    <col min="88" max="88" width="26.85546875" customWidth="1"/>
    <col min="94" max="94" width="8.7109375" customWidth="1"/>
    <col min="95" max="95" width="28.5703125" customWidth="1"/>
    <col min="96" max="99" width="17.28515625" customWidth="1"/>
    <col min="100" max="100" width="8.140625" customWidth="1"/>
  </cols>
  <sheetData>
    <row r="1" spans="1:108" ht="15.75" x14ac:dyDescent="0.25">
      <c r="A1" s="624" t="s">
        <v>458</v>
      </c>
      <c r="B1" s="624"/>
      <c r="C1" s="624"/>
      <c r="D1" s="624"/>
      <c r="E1" s="624"/>
      <c r="F1" s="23"/>
      <c r="G1" s="23"/>
      <c r="H1" s="23"/>
      <c r="I1" s="23"/>
      <c r="J1" s="23"/>
      <c r="K1" s="23"/>
    </row>
    <row r="2" spans="1:108" x14ac:dyDescent="0.2">
      <c r="A2" s="2"/>
      <c r="B2" s="24"/>
      <c r="C2" s="24"/>
      <c r="D2" s="24"/>
      <c r="E2" s="24"/>
      <c r="F2" s="24"/>
      <c r="G2" s="24"/>
      <c r="H2" s="242"/>
      <c r="I2" s="24"/>
      <c r="J2" s="24"/>
      <c r="K2" s="23"/>
    </row>
    <row r="3" spans="1:108" ht="81" customHeight="1" x14ac:dyDescent="0.2">
      <c r="A3" s="458" t="s">
        <v>1243</v>
      </c>
      <c r="B3" s="467" t="s">
        <v>802</v>
      </c>
      <c r="C3" s="4" t="s">
        <v>459</v>
      </c>
      <c r="D3" s="467" t="s">
        <v>1244</v>
      </c>
      <c r="E3" s="4" t="s">
        <v>460</v>
      </c>
      <c r="F3" s="4" t="s">
        <v>461</v>
      </c>
      <c r="G3" s="4" t="s">
        <v>462</v>
      </c>
      <c r="H3" s="4" t="s">
        <v>463</v>
      </c>
      <c r="I3" s="467" t="s">
        <v>1245</v>
      </c>
      <c r="J3" s="467" t="s">
        <v>1246</v>
      </c>
      <c r="K3" s="11"/>
      <c r="L3" s="576" t="s">
        <v>1248</v>
      </c>
      <c r="M3" s="654" t="s">
        <v>802</v>
      </c>
      <c r="N3" s="664" t="s">
        <v>459</v>
      </c>
      <c r="O3" s="664"/>
      <c r="P3" s="664"/>
      <c r="Q3" s="664"/>
      <c r="R3" s="664" t="s">
        <v>464</v>
      </c>
      <c r="S3" s="664"/>
      <c r="T3" s="664"/>
      <c r="U3" s="664"/>
      <c r="V3" s="55"/>
      <c r="W3" s="458" t="s">
        <v>1250</v>
      </c>
      <c r="X3" s="467" t="s">
        <v>802</v>
      </c>
      <c r="Y3" s="4" t="s">
        <v>465</v>
      </c>
      <c r="Z3" s="4" t="s">
        <v>466</v>
      </c>
      <c r="AA3" s="467" t="s">
        <v>1251</v>
      </c>
      <c r="AB3" s="4" t="s">
        <v>467</v>
      </c>
      <c r="AC3" s="4" t="s">
        <v>468</v>
      </c>
      <c r="AD3" s="55"/>
      <c r="AE3" s="458" t="s">
        <v>1252</v>
      </c>
      <c r="AF3" s="437" t="s">
        <v>802</v>
      </c>
      <c r="AG3" s="4" t="s">
        <v>469</v>
      </c>
      <c r="AH3" s="4" t="s">
        <v>470</v>
      </c>
      <c r="AI3" s="4" t="s">
        <v>471</v>
      </c>
      <c r="AJ3" s="4" t="s">
        <v>472</v>
      </c>
      <c r="AK3" s="4" t="s">
        <v>473</v>
      </c>
      <c r="AL3" s="4" t="s">
        <v>474</v>
      </c>
      <c r="AM3" s="55"/>
      <c r="AN3" s="458" t="s">
        <v>1256</v>
      </c>
      <c r="AO3" s="437" t="s">
        <v>802</v>
      </c>
      <c r="AP3" s="4" t="s">
        <v>475</v>
      </c>
      <c r="AQ3" s="467" t="s">
        <v>1255</v>
      </c>
      <c r="AR3" s="4" t="s">
        <v>476</v>
      </c>
      <c r="AS3" s="4" t="s">
        <v>477</v>
      </c>
      <c r="AT3" s="4" t="s">
        <v>459</v>
      </c>
      <c r="AU3" s="55"/>
      <c r="AV3" s="458" t="s">
        <v>1257</v>
      </c>
      <c r="AW3" s="37">
        <v>2015</v>
      </c>
      <c r="AX3" s="37">
        <v>2016</v>
      </c>
      <c r="AY3" s="37">
        <v>2017</v>
      </c>
      <c r="AZ3" s="37">
        <v>2018</v>
      </c>
      <c r="BA3" s="37">
        <v>2019</v>
      </c>
      <c r="BB3" s="37">
        <v>2020</v>
      </c>
      <c r="BC3" s="55"/>
      <c r="BD3" s="458" t="s">
        <v>1165</v>
      </c>
      <c r="BE3" s="37">
        <v>2015</v>
      </c>
      <c r="BF3" s="37">
        <v>2016</v>
      </c>
      <c r="BG3" s="37">
        <v>2017</v>
      </c>
      <c r="BH3" s="37">
        <v>2018</v>
      </c>
      <c r="BI3" s="37">
        <v>2019</v>
      </c>
      <c r="BJ3" s="37">
        <v>2020</v>
      </c>
      <c r="BK3" s="55"/>
      <c r="BL3" s="458" t="s">
        <v>1166</v>
      </c>
      <c r="BM3" s="4" t="s">
        <v>90</v>
      </c>
      <c r="BN3" s="4" t="s">
        <v>478</v>
      </c>
      <c r="BO3" s="55"/>
      <c r="BP3" s="458" t="s">
        <v>1259</v>
      </c>
      <c r="BQ3" s="5" t="s">
        <v>479</v>
      </c>
      <c r="BR3" s="55"/>
      <c r="BS3" s="36" t="s">
        <v>480</v>
      </c>
      <c r="BT3" s="37">
        <v>2015</v>
      </c>
      <c r="BU3" s="37">
        <v>2016</v>
      </c>
      <c r="BV3" s="37">
        <v>2017</v>
      </c>
      <c r="BW3" s="37">
        <v>2018</v>
      </c>
      <c r="BX3" s="37">
        <v>2019</v>
      </c>
      <c r="BY3" s="37">
        <v>2020</v>
      </c>
      <c r="BZ3" s="55"/>
      <c r="CA3" s="36" t="s">
        <v>481</v>
      </c>
      <c r="CB3" s="37">
        <v>2015</v>
      </c>
      <c r="CC3" s="37">
        <v>2016</v>
      </c>
      <c r="CD3" s="37">
        <v>2017</v>
      </c>
      <c r="CE3" s="37">
        <v>2018</v>
      </c>
      <c r="CF3" s="37">
        <v>2019</v>
      </c>
      <c r="CG3" s="4" t="s">
        <v>482</v>
      </c>
      <c r="CH3" s="55"/>
      <c r="CI3" s="39" t="s">
        <v>483</v>
      </c>
      <c r="CJ3" s="4" t="s">
        <v>484</v>
      </c>
      <c r="CK3" s="4" t="s">
        <v>485</v>
      </c>
      <c r="CL3" s="4" t="s">
        <v>486</v>
      </c>
      <c r="CM3" s="4" t="s">
        <v>487</v>
      </c>
      <c r="CN3" s="4" t="s">
        <v>488</v>
      </c>
      <c r="CO3" s="4" t="s">
        <v>489</v>
      </c>
      <c r="CP3" s="55"/>
      <c r="CQ3" s="652" t="s">
        <v>490</v>
      </c>
      <c r="CR3" s="677">
        <v>2019</v>
      </c>
      <c r="CS3" s="678"/>
      <c r="CT3" s="675">
        <v>2020</v>
      </c>
      <c r="CU3" s="676"/>
      <c r="CV3" s="55"/>
      <c r="CW3" s="425" t="s">
        <v>1169</v>
      </c>
      <c r="CX3" s="4" t="s">
        <v>460</v>
      </c>
      <c r="CY3" s="4" t="s">
        <v>461</v>
      </c>
      <c r="CZ3" s="4" t="s">
        <v>462</v>
      </c>
      <c r="DA3" s="4" t="s">
        <v>463</v>
      </c>
      <c r="DB3" s="470" t="s">
        <v>1171</v>
      </c>
      <c r="DC3" s="470" t="s">
        <v>1170</v>
      </c>
      <c r="DD3" s="26"/>
    </row>
    <row r="4" spans="1:108" ht="27.75" customHeight="1" x14ac:dyDescent="0.2">
      <c r="A4" s="623" t="s">
        <v>154</v>
      </c>
      <c r="B4" s="446" t="s">
        <v>72</v>
      </c>
      <c r="C4" s="237">
        <f>SUM(C5:C6)</f>
        <v>21866.192999999999</v>
      </c>
      <c r="D4" s="237">
        <f>SUM(D5:D6)</f>
        <v>5185.6930000000002</v>
      </c>
      <c r="E4" s="237">
        <f>SUM(E5:E6)</f>
        <v>16680.5</v>
      </c>
      <c r="F4" s="237">
        <f>SUM(F5:F6)</f>
        <v>19100.760000000002</v>
      </c>
      <c r="G4" s="237">
        <f>SUM(G5:G6)</f>
        <v>35781.259999999995</v>
      </c>
      <c r="H4" s="243">
        <f>F4/(E4+F4)</f>
        <v>0.53382021762229726</v>
      </c>
      <c r="I4" s="244">
        <f>E4/'2020 Normalizing Denominators'!E4</f>
        <v>19.60105757931845</v>
      </c>
      <c r="J4" s="244">
        <v>0.82121406065380098</v>
      </c>
      <c r="K4" s="11"/>
      <c r="L4" s="577"/>
      <c r="M4" s="581"/>
      <c r="N4" s="4" t="s">
        <v>491</v>
      </c>
      <c r="O4" s="4" t="s">
        <v>492</v>
      </c>
      <c r="P4" s="4" t="s">
        <v>493</v>
      </c>
      <c r="Q4" s="4" t="s">
        <v>90</v>
      </c>
      <c r="R4" s="4" t="s">
        <v>491</v>
      </c>
      <c r="S4" s="4" t="s">
        <v>492</v>
      </c>
      <c r="T4" s="4" t="s">
        <v>493</v>
      </c>
      <c r="U4" s="4" t="s">
        <v>90</v>
      </c>
      <c r="V4" s="55"/>
      <c r="W4" s="623" t="s">
        <v>154</v>
      </c>
      <c r="X4" s="236" t="s">
        <v>72</v>
      </c>
      <c r="Y4" s="109">
        <f>SUM(Y5:Y6)</f>
        <v>4620.0929999999998</v>
      </c>
      <c r="Z4" s="109">
        <f>SUM(Z5:Z6)</f>
        <v>0</v>
      </c>
      <c r="AA4" s="109">
        <f>SUM(AA5:AA6)</f>
        <v>0</v>
      </c>
      <c r="AB4" s="109">
        <f>SUM(AB5:AB6)</f>
        <v>0</v>
      </c>
      <c r="AC4" s="109">
        <f>SUM(AC5:AC6)</f>
        <v>4620.0929999999998</v>
      </c>
      <c r="AD4" s="55"/>
      <c r="AE4" s="623" t="s">
        <v>154</v>
      </c>
      <c r="AF4" s="236" t="s">
        <v>72</v>
      </c>
      <c r="AG4" s="109">
        <f t="shared" ref="AG4:AL4" si="0">SUM(AG5:AG6)</f>
        <v>0</v>
      </c>
      <c r="AH4" s="109">
        <f t="shared" si="0"/>
        <v>565.6</v>
      </c>
      <c r="AI4" s="109">
        <f t="shared" si="0"/>
        <v>0</v>
      </c>
      <c r="AJ4" s="109">
        <f t="shared" si="0"/>
        <v>0</v>
      </c>
      <c r="AK4" s="109">
        <f t="shared" si="0"/>
        <v>0</v>
      </c>
      <c r="AL4" s="109">
        <f t="shared" si="0"/>
        <v>565.6</v>
      </c>
      <c r="AM4" s="55"/>
      <c r="AN4" s="623" t="s">
        <v>154</v>
      </c>
      <c r="AO4" s="92" t="s">
        <v>72</v>
      </c>
      <c r="AP4" s="109">
        <f>SUM(AP5:AP6)</f>
        <v>0</v>
      </c>
      <c r="AQ4" s="109">
        <f>SUM(AQ5:AQ6)</f>
        <v>4668.134</v>
      </c>
      <c r="AR4" s="109">
        <f>SUM(AR5:AR6)</f>
        <v>17198.059000000001</v>
      </c>
      <c r="AS4" s="109">
        <f>SUM(AS5:AS6)</f>
        <v>0</v>
      </c>
      <c r="AT4" s="109">
        <f>SUM(AT5:AT6)</f>
        <v>21866.192999999999</v>
      </c>
      <c r="AU4" s="55"/>
      <c r="AV4" s="42" t="s">
        <v>494</v>
      </c>
      <c r="AW4" s="44">
        <v>503029</v>
      </c>
      <c r="AX4" s="44">
        <v>201152</v>
      </c>
      <c r="AY4" s="44">
        <v>217327</v>
      </c>
      <c r="AZ4" s="44">
        <v>230257</v>
      </c>
      <c r="BA4" s="44">
        <v>198549</v>
      </c>
      <c r="BB4" s="44">
        <f>AT24</f>
        <v>190371.3682</v>
      </c>
      <c r="BC4" s="55"/>
      <c r="BD4" s="150" t="s">
        <v>469</v>
      </c>
      <c r="BE4" s="53">
        <v>557</v>
      </c>
      <c r="BF4" s="53">
        <v>0</v>
      </c>
      <c r="BG4" s="53">
        <v>0</v>
      </c>
      <c r="BH4" s="53">
        <v>43</v>
      </c>
      <c r="BI4" s="53">
        <v>0</v>
      </c>
      <c r="BJ4" s="53">
        <v>0</v>
      </c>
      <c r="BK4" s="55"/>
      <c r="BL4" s="46" t="s">
        <v>491</v>
      </c>
      <c r="BM4" s="53">
        <f>N25-R25</f>
        <v>52397.832999999999</v>
      </c>
      <c r="BN4" s="245">
        <f>BM4/($Q$25-$U$25)</f>
        <v>0.51602913849488996</v>
      </c>
      <c r="BO4" s="55"/>
      <c r="BP4" s="506" t="s">
        <v>1260</v>
      </c>
      <c r="BQ4" s="111">
        <f>SUM(BQ5:BQ8)</f>
        <v>190371.36820000003</v>
      </c>
      <c r="BR4" s="55"/>
      <c r="BS4" s="10" t="s">
        <v>495</v>
      </c>
      <c r="BT4" s="246">
        <v>128874</v>
      </c>
      <c r="BU4" s="246">
        <v>107585</v>
      </c>
      <c r="BV4" s="246">
        <v>115747</v>
      </c>
      <c r="BW4" s="246">
        <v>104816</v>
      </c>
      <c r="BX4" s="246">
        <v>106413</v>
      </c>
      <c r="BY4" s="246">
        <v>101540.9942</v>
      </c>
      <c r="BZ4" s="55"/>
      <c r="CA4" s="10" t="s">
        <v>496</v>
      </c>
      <c r="CB4" s="247">
        <v>19</v>
      </c>
      <c r="CC4" s="142">
        <v>19</v>
      </c>
      <c r="CD4" s="248">
        <v>18.600000000000001</v>
      </c>
      <c r="CE4" s="220">
        <v>17.3</v>
      </c>
      <c r="CF4" s="165">
        <v>16.8</v>
      </c>
      <c r="CG4" s="165">
        <v>18.553077690480499</v>
      </c>
      <c r="CH4" s="55"/>
      <c r="CI4" s="40" t="s">
        <v>41</v>
      </c>
      <c r="CJ4" s="40" t="s">
        <v>497</v>
      </c>
      <c r="CK4" s="40" t="s">
        <v>498</v>
      </c>
      <c r="CL4" s="52"/>
      <c r="CM4" s="52" t="s">
        <v>499</v>
      </c>
      <c r="CN4" s="52" t="s">
        <v>499</v>
      </c>
      <c r="CO4" s="52" t="s">
        <v>499</v>
      </c>
      <c r="CP4" s="55"/>
      <c r="CQ4" s="652"/>
      <c r="CR4" s="678"/>
      <c r="CS4" s="678"/>
      <c r="CT4" s="676"/>
      <c r="CU4" s="676"/>
      <c r="CV4" s="55"/>
      <c r="CW4" s="46" t="s">
        <v>19</v>
      </c>
      <c r="CX4" s="240">
        <v>2132</v>
      </c>
      <c r="CY4" s="240">
        <v>53593</v>
      </c>
      <c r="CZ4" s="240">
        <v>55725</v>
      </c>
      <c r="DA4" s="249">
        <v>0.96174069089277703</v>
      </c>
      <c r="DB4" s="198">
        <v>7.8382352941176503</v>
      </c>
      <c r="DC4" s="198">
        <v>1.14685314685315</v>
      </c>
      <c r="DD4" s="26"/>
    </row>
    <row r="5" spans="1:108" ht="21.6" customHeight="1" x14ac:dyDescent="0.2">
      <c r="A5" s="623"/>
      <c r="B5" s="97" t="s">
        <v>41</v>
      </c>
      <c r="C5" s="240">
        <v>10182.692999999999</v>
      </c>
      <c r="D5" s="240">
        <v>2989.7930000000001</v>
      </c>
      <c r="E5" s="240">
        <v>7192.9</v>
      </c>
      <c r="F5" s="240">
        <v>10247.76</v>
      </c>
      <c r="G5" s="240">
        <v>17440.66</v>
      </c>
      <c r="H5" s="249">
        <v>0.58757868108202305</v>
      </c>
      <c r="I5" s="198">
        <v>14.985208333333301</v>
      </c>
      <c r="J5" s="198">
        <v>0.630845465707771</v>
      </c>
      <c r="K5" s="11"/>
      <c r="L5" s="623" t="s">
        <v>154</v>
      </c>
      <c r="M5" s="236" t="s">
        <v>72</v>
      </c>
      <c r="N5" s="109">
        <f t="shared" ref="N5:U5" si="1">SUM(N6:N7)</f>
        <v>18249.359</v>
      </c>
      <c r="O5" s="109">
        <f t="shared" si="1"/>
        <v>284.5</v>
      </c>
      <c r="P5" s="109">
        <f t="shared" si="1"/>
        <v>3332.3339999999998</v>
      </c>
      <c r="Q5" s="109">
        <f t="shared" si="1"/>
        <v>21866.192999999999</v>
      </c>
      <c r="R5" s="109">
        <f t="shared" si="1"/>
        <v>3545.893</v>
      </c>
      <c r="S5" s="109">
        <f t="shared" si="1"/>
        <v>1639.8</v>
      </c>
      <c r="T5" s="109">
        <f t="shared" si="1"/>
        <v>0</v>
      </c>
      <c r="U5" s="109">
        <f t="shared" si="1"/>
        <v>5185.6930000000002</v>
      </c>
      <c r="V5" s="55"/>
      <c r="W5" s="623"/>
      <c r="X5" s="118" t="s">
        <v>41</v>
      </c>
      <c r="Y5" s="53">
        <v>2989.7930000000001</v>
      </c>
      <c r="Z5" s="53">
        <v>0</v>
      </c>
      <c r="AA5" s="53">
        <v>0</v>
      </c>
      <c r="AB5" s="53">
        <v>0</v>
      </c>
      <c r="AC5" s="53">
        <v>2989.7930000000001</v>
      </c>
      <c r="AD5" s="55"/>
      <c r="AE5" s="623"/>
      <c r="AF5" s="118" t="s">
        <v>41</v>
      </c>
      <c r="AG5" s="53">
        <v>0</v>
      </c>
      <c r="AH5" s="53">
        <v>0</v>
      </c>
      <c r="AI5" s="53">
        <v>0</v>
      </c>
      <c r="AJ5" s="53">
        <v>0</v>
      </c>
      <c r="AK5" s="53">
        <v>0</v>
      </c>
      <c r="AL5" s="53">
        <v>0</v>
      </c>
      <c r="AM5" s="55"/>
      <c r="AN5" s="623"/>
      <c r="AO5" s="118" t="s">
        <v>41</v>
      </c>
      <c r="AP5" s="53">
        <v>0</v>
      </c>
      <c r="AQ5" s="53">
        <v>3332.3339999999998</v>
      </c>
      <c r="AR5" s="53">
        <v>6850.3590000000004</v>
      </c>
      <c r="AS5" s="53">
        <v>0</v>
      </c>
      <c r="AT5" s="53">
        <v>10182.692999999999</v>
      </c>
      <c r="AU5" s="55"/>
      <c r="AV5" s="97" t="s">
        <v>475</v>
      </c>
      <c r="AW5" s="53">
        <v>9595</v>
      </c>
      <c r="AX5" s="53">
        <v>14595</v>
      </c>
      <c r="AY5" s="53">
        <v>8285</v>
      </c>
      <c r="AZ5" s="53">
        <v>5458</v>
      </c>
      <c r="BA5" s="53">
        <v>12132</v>
      </c>
      <c r="BB5" s="53">
        <f>AP24</f>
        <v>13230.254999999999</v>
      </c>
      <c r="BC5" s="55"/>
      <c r="BD5" s="150" t="s">
        <v>500</v>
      </c>
      <c r="BE5" s="53">
        <v>1815</v>
      </c>
      <c r="BF5" s="53">
        <v>0</v>
      </c>
      <c r="BG5" s="53">
        <v>4194</v>
      </c>
      <c r="BH5" s="53">
        <v>2962</v>
      </c>
      <c r="BI5" s="53">
        <v>4632</v>
      </c>
      <c r="BJ5" s="53">
        <v>11844.6</v>
      </c>
      <c r="BK5" s="55"/>
      <c r="BL5" s="46" t="s">
        <v>492</v>
      </c>
      <c r="BM5" s="250">
        <f>O25-S25</f>
        <v>-1851.9590000000026</v>
      </c>
      <c r="BN5" s="245">
        <f>BM5/($Q$25-$U$25)</f>
        <v>-1.8238632259808516E-2</v>
      </c>
      <c r="BO5" s="55"/>
      <c r="BP5" s="97" t="s">
        <v>501</v>
      </c>
      <c r="BQ5" s="53">
        <v>13230.254999999999</v>
      </c>
      <c r="BR5" s="55"/>
      <c r="BS5" s="10" t="s">
        <v>502</v>
      </c>
      <c r="BT5" s="246">
        <v>185742</v>
      </c>
      <c r="BU5" s="246">
        <v>227960</v>
      </c>
      <c r="BV5" s="246">
        <v>297379</v>
      </c>
      <c r="BW5" s="246">
        <v>271699</v>
      </c>
      <c r="BX5" s="246">
        <v>263210</v>
      </c>
      <c r="BY5" s="246">
        <v>257563.008</v>
      </c>
      <c r="BZ5" s="55"/>
      <c r="CA5" s="10" t="s">
        <v>503</v>
      </c>
      <c r="CB5" s="217" t="s">
        <v>93</v>
      </c>
      <c r="CC5" s="218" t="s">
        <v>93</v>
      </c>
      <c r="CD5" s="218" t="s">
        <v>93</v>
      </c>
      <c r="CE5" s="218" t="s">
        <v>93</v>
      </c>
      <c r="CF5" s="165">
        <v>0.63</v>
      </c>
      <c r="CG5" s="165">
        <v>0.73349750928240198</v>
      </c>
      <c r="CH5" s="55"/>
      <c r="CI5" s="40" t="s">
        <v>158</v>
      </c>
      <c r="CJ5" s="40" t="s">
        <v>497</v>
      </c>
      <c r="CK5" s="40" t="s">
        <v>504</v>
      </c>
      <c r="CL5" s="52"/>
      <c r="CM5" s="52" t="s">
        <v>499</v>
      </c>
      <c r="CN5" s="52" t="s">
        <v>499</v>
      </c>
      <c r="CO5" s="52" t="s">
        <v>499</v>
      </c>
      <c r="CP5" s="55"/>
      <c r="CQ5" s="4" t="s">
        <v>505</v>
      </c>
      <c r="CR5" s="4" t="s">
        <v>506</v>
      </c>
      <c r="CS5" s="4" t="s">
        <v>59</v>
      </c>
      <c r="CT5" s="4" t="s">
        <v>506</v>
      </c>
      <c r="CU5" s="4" t="s">
        <v>59</v>
      </c>
      <c r="CV5" s="55"/>
      <c r="CW5" s="46" t="s">
        <v>25</v>
      </c>
      <c r="CX5" s="240">
        <v>26060.53</v>
      </c>
      <c r="CY5" s="240">
        <v>49958</v>
      </c>
      <c r="CZ5" s="240">
        <v>76018.53</v>
      </c>
      <c r="DA5" s="249">
        <v>0.65718187394573402</v>
      </c>
      <c r="DB5" s="198">
        <v>18.3654193093728</v>
      </c>
      <c r="DC5" s="198">
        <v>0.635622682926829</v>
      </c>
      <c r="DD5" s="26"/>
    </row>
    <row r="6" spans="1:108" ht="21.6" customHeight="1" x14ac:dyDescent="0.2">
      <c r="A6" s="623"/>
      <c r="B6" s="97" t="s">
        <v>158</v>
      </c>
      <c r="C6" s="240">
        <v>11683.5</v>
      </c>
      <c r="D6" s="240">
        <v>2195.9</v>
      </c>
      <c r="E6" s="240">
        <v>9487.6</v>
      </c>
      <c r="F6" s="240">
        <v>8853</v>
      </c>
      <c r="G6" s="240">
        <v>18340.599999999999</v>
      </c>
      <c r="H6" s="249">
        <v>0.48269958452831402</v>
      </c>
      <c r="I6" s="198">
        <v>25.573045822102401</v>
      </c>
      <c r="J6" s="198">
        <v>1.0648260381593699</v>
      </c>
      <c r="K6" s="11"/>
      <c r="L6" s="623"/>
      <c r="M6" s="118" t="s">
        <v>41</v>
      </c>
      <c r="N6" s="53">
        <v>6850.3590000000004</v>
      </c>
      <c r="O6" s="53">
        <v>0</v>
      </c>
      <c r="P6" s="53">
        <v>3332.3339999999998</v>
      </c>
      <c r="Q6" s="53">
        <v>10182.692999999999</v>
      </c>
      <c r="R6" s="53">
        <v>2989.7930000000001</v>
      </c>
      <c r="S6" s="53">
        <v>0</v>
      </c>
      <c r="T6" s="53">
        <v>0</v>
      </c>
      <c r="U6" s="53">
        <v>2989.7930000000001</v>
      </c>
      <c r="V6" s="55"/>
      <c r="W6" s="623"/>
      <c r="X6" s="118" t="s">
        <v>158</v>
      </c>
      <c r="Y6" s="53">
        <v>1630.3</v>
      </c>
      <c r="Z6" s="53">
        <v>0</v>
      </c>
      <c r="AA6" s="53">
        <v>0</v>
      </c>
      <c r="AB6" s="53">
        <v>0</v>
      </c>
      <c r="AC6" s="53">
        <v>1630.3</v>
      </c>
      <c r="AD6" s="55"/>
      <c r="AE6" s="623"/>
      <c r="AF6" s="118" t="s">
        <v>158</v>
      </c>
      <c r="AG6" s="53">
        <v>0</v>
      </c>
      <c r="AH6" s="53">
        <v>565.6</v>
      </c>
      <c r="AI6" s="53">
        <v>0</v>
      </c>
      <c r="AJ6" s="53">
        <v>0</v>
      </c>
      <c r="AK6" s="53">
        <v>0</v>
      </c>
      <c r="AL6" s="53">
        <v>565.6</v>
      </c>
      <c r="AM6" s="55"/>
      <c r="AN6" s="623"/>
      <c r="AO6" s="118" t="s">
        <v>158</v>
      </c>
      <c r="AP6" s="53">
        <v>0</v>
      </c>
      <c r="AQ6" s="53">
        <v>1335.8</v>
      </c>
      <c r="AR6" s="53">
        <v>10347.700000000001</v>
      </c>
      <c r="AS6" s="53">
        <v>0</v>
      </c>
      <c r="AT6" s="53">
        <v>11683.5</v>
      </c>
      <c r="AU6" s="55"/>
      <c r="AV6" s="97" t="s">
        <v>507</v>
      </c>
      <c r="AW6" s="53">
        <v>124351</v>
      </c>
      <c r="AX6" s="53">
        <v>111420</v>
      </c>
      <c r="AY6" s="53">
        <v>110701</v>
      </c>
      <c r="AZ6" s="53">
        <v>115238</v>
      </c>
      <c r="BA6" s="53">
        <v>75458</v>
      </c>
      <c r="BB6" s="53">
        <f>AQ24</f>
        <v>75870.581000000006</v>
      </c>
      <c r="BC6" s="55"/>
      <c r="BD6" s="150" t="s">
        <v>471</v>
      </c>
      <c r="BE6" s="53">
        <v>0</v>
      </c>
      <c r="BF6" s="53">
        <v>0</v>
      </c>
      <c r="BG6" s="53">
        <v>0</v>
      </c>
      <c r="BH6" s="53">
        <v>0</v>
      </c>
      <c r="BI6" s="53">
        <v>0</v>
      </c>
      <c r="BJ6" s="53">
        <v>0</v>
      </c>
      <c r="BK6" s="55"/>
      <c r="BL6" s="46" t="s">
        <v>493</v>
      </c>
      <c r="BM6" s="53">
        <f>P25-T25</f>
        <v>50994.58</v>
      </c>
      <c r="BN6" s="245">
        <f>BM6/($Q$25-$U$25)</f>
        <v>0.50220949376491864</v>
      </c>
      <c r="BO6" s="55"/>
      <c r="BP6" s="97" t="s">
        <v>508</v>
      </c>
      <c r="BQ6" s="53">
        <v>75870.581000000006</v>
      </c>
      <c r="BR6" s="55"/>
      <c r="BS6" s="10" t="s">
        <v>509</v>
      </c>
      <c r="BT6" s="79">
        <v>0.59</v>
      </c>
      <c r="BU6" s="507">
        <v>0.68</v>
      </c>
      <c r="BV6" s="507">
        <v>0.72</v>
      </c>
      <c r="BW6" s="507">
        <v>0.72</v>
      </c>
      <c r="BX6" s="507">
        <v>0.71</v>
      </c>
      <c r="BY6" s="251">
        <v>0.70913357831206003</v>
      </c>
      <c r="BZ6" s="55"/>
      <c r="CA6" s="10" t="s">
        <v>510</v>
      </c>
      <c r="CB6" s="217" t="s">
        <v>93</v>
      </c>
      <c r="CC6" s="218" t="s">
        <v>93</v>
      </c>
      <c r="CD6" s="218" t="s">
        <v>93</v>
      </c>
      <c r="CE6" s="218" t="s">
        <v>93</v>
      </c>
      <c r="CF6" s="165">
        <v>0.12</v>
      </c>
      <c r="CG6" s="165">
        <v>0.11</v>
      </c>
      <c r="CH6" s="55"/>
      <c r="CI6" s="40" t="s">
        <v>511</v>
      </c>
      <c r="CJ6" s="40" t="s">
        <v>512</v>
      </c>
      <c r="CK6" s="40" t="s">
        <v>498</v>
      </c>
      <c r="CL6" s="52"/>
      <c r="CM6" s="52"/>
      <c r="CN6" s="52"/>
      <c r="CO6" s="52"/>
      <c r="CP6" s="55"/>
      <c r="CQ6" s="40" t="s">
        <v>513</v>
      </c>
      <c r="CR6" s="146">
        <v>47246</v>
      </c>
      <c r="CS6" s="252">
        <v>0.44</v>
      </c>
      <c r="CT6" s="250">
        <v>50546</v>
      </c>
      <c r="CU6" s="252">
        <v>0.5</v>
      </c>
      <c r="CV6" s="55"/>
      <c r="CW6" s="46" t="s">
        <v>11</v>
      </c>
      <c r="CX6" s="240">
        <v>574</v>
      </c>
      <c r="CY6" s="240">
        <v>696</v>
      </c>
      <c r="CZ6" s="240">
        <v>1270</v>
      </c>
      <c r="DA6" s="249">
        <v>0.54803149606299195</v>
      </c>
      <c r="DB6" s="198">
        <v>2.6574074074074101</v>
      </c>
      <c r="DC6" s="198">
        <v>0.38705327039784199</v>
      </c>
      <c r="DD6" s="26"/>
    </row>
    <row r="7" spans="1:108" ht="21.6" customHeight="1" x14ac:dyDescent="0.2">
      <c r="A7" s="625" t="s">
        <v>160</v>
      </c>
      <c r="B7" s="446" t="s">
        <v>79</v>
      </c>
      <c r="C7" s="237">
        <f t="shared" ref="C7:J7" si="2">C8</f>
        <v>4109</v>
      </c>
      <c r="D7" s="237">
        <f t="shared" si="2"/>
        <v>1977</v>
      </c>
      <c r="E7" s="237">
        <f t="shared" si="2"/>
        <v>2132</v>
      </c>
      <c r="F7" s="237">
        <f t="shared" si="2"/>
        <v>53593</v>
      </c>
      <c r="G7" s="237">
        <f t="shared" si="2"/>
        <v>55725</v>
      </c>
      <c r="H7" s="243">
        <f t="shared" si="2"/>
        <v>0.96174069089277703</v>
      </c>
      <c r="I7" s="244">
        <f t="shared" si="2"/>
        <v>7.8382352941176503</v>
      </c>
      <c r="J7" s="244">
        <f t="shared" si="2"/>
        <v>1.14685314685315</v>
      </c>
      <c r="K7" s="11"/>
      <c r="L7" s="623"/>
      <c r="M7" s="118" t="s">
        <v>158</v>
      </c>
      <c r="N7" s="53">
        <v>11399</v>
      </c>
      <c r="O7" s="53">
        <v>284.5</v>
      </c>
      <c r="P7" s="53">
        <v>0</v>
      </c>
      <c r="Q7" s="53">
        <v>11683.5</v>
      </c>
      <c r="R7" s="53">
        <v>556.1</v>
      </c>
      <c r="S7" s="53">
        <v>1639.8</v>
      </c>
      <c r="T7" s="53">
        <v>0</v>
      </c>
      <c r="U7" s="53">
        <v>2195.9</v>
      </c>
      <c r="V7" s="55"/>
      <c r="W7" s="625" t="s">
        <v>160</v>
      </c>
      <c r="X7" s="236" t="s">
        <v>79</v>
      </c>
      <c r="Y7" s="109">
        <f>Y8</f>
        <v>1982</v>
      </c>
      <c r="Z7" s="109">
        <f>Z8</f>
        <v>0</v>
      </c>
      <c r="AA7" s="109">
        <f>AA8</f>
        <v>0</v>
      </c>
      <c r="AB7" s="109">
        <f>AB8</f>
        <v>0</v>
      </c>
      <c r="AC7" s="109">
        <f>AC8</f>
        <v>1982</v>
      </c>
      <c r="AD7" s="55"/>
      <c r="AE7" s="625" t="s">
        <v>160</v>
      </c>
      <c r="AF7" s="236" t="s">
        <v>79</v>
      </c>
      <c r="AG7" s="109">
        <f t="shared" ref="AG7:AL7" si="3">AG8</f>
        <v>0</v>
      </c>
      <c r="AH7" s="109">
        <f t="shared" si="3"/>
        <v>-5</v>
      </c>
      <c r="AI7" s="109">
        <f t="shared" si="3"/>
        <v>0</v>
      </c>
      <c r="AJ7" s="109">
        <f t="shared" si="3"/>
        <v>0</v>
      </c>
      <c r="AK7" s="109">
        <f t="shared" si="3"/>
        <v>0</v>
      </c>
      <c r="AL7" s="109">
        <f t="shared" si="3"/>
        <v>-5</v>
      </c>
      <c r="AM7" s="55"/>
      <c r="AN7" s="625" t="s">
        <v>160</v>
      </c>
      <c r="AO7" s="92" t="s">
        <v>79</v>
      </c>
      <c r="AP7" s="109">
        <f>AP8</f>
        <v>0</v>
      </c>
      <c r="AQ7" s="109">
        <f>AQ8</f>
        <v>1345</v>
      </c>
      <c r="AR7" s="109">
        <f>AR8</f>
        <v>998</v>
      </c>
      <c r="AS7" s="109">
        <f>AS8</f>
        <v>1766</v>
      </c>
      <c r="AT7" s="109">
        <f>AT8</f>
        <v>4109</v>
      </c>
      <c r="AU7" s="55"/>
      <c r="AV7" s="97" t="s">
        <v>514</v>
      </c>
      <c r="AW7" s="53">
        <v>95074</v>
      </c>
      <c r="AX7" s="53">
        <v>70800</v>
      </c>
      <c r="AY7" s="53">
        <v>94216</v>
      </c>
      <c r="AZ7" s="53">
        <v>106003</v>
      </c>
      <c r="BA7" s="53">
        <v>107288</v>
      </c>
      <c r="BB7" s="53">
        <f>AR24</f>
        <v>99361.76999999999</v>
      </c>
      <c r="BC7" s="55"/>
      <c r="BD7" s="150" t="s">
        <v>472</v>
      </c>
      <c r="BE7" s="53">
        <v>83924</v>
      </c>
      <c r="BF7" s="53">
        <v>18017</v>
      </c>
      <c r="BG7" s="53">
        <v>30575</v>
      </c>
      <c r="BH7" s="53">
        <v>23568</v>
      </c>
      <c r="BI7" s="53">
        <v>4923</v>
      </c>
      <c r="BJ7" s="53">
        <v>5285</v>
      </c>
      <c r="BK7" s="26"/>
      <c r="BL7" s="563" t="s">
        <v>515</v>
      </c>
      <c r="BM7" s="563"/>
      <c r="BN7" s="563"/>
      <c r="BP7" s="219" t="s">
        <v>516</v>
      </c>
      <c r="BQ7" s="53">
        <v>99361.77</v>
      </c>
      <c r="BR7" s="26"/>
      <c r="BS7" s="563" t="s">
        <v>517</v>
      </c>
      <c r="BT7" s="563"/>
      <c r="BU7" s="563"/>
      <c r="BV7" s="563"/>
      <c r="BW7" s="563"/>
      <c r="BX7" s="563"/>
      <c r="BY7" s="563"/>
      <c r="CA7" s="574" t="s">
        <v>1264</v>
      </c>
      <c r="CB7" s="563"/>
      <c r="CC7" s="563"/>
      <c r="CD7" s="563"/>
      <c r="CE7" s="563"/>
      <c r="CF7" s="563"/>
      <c r="CG7" s="563"/>
      <c r="CI7" s="40" t="s">
        <v>14</v>
      </c>
      <c r="CJ7" s="40" t="s">
        <v>518</v>
      </c>
      <c r="CK7" s="40" t="s">
        <v>504</v>
      </c>
      <c r="CL7" s="52" t="s">
        <v>499</v>
      </c>
      <c r="CM7" s="52"/>
      <c r="CN7" s="52"/>
      <c r="CO7" s="52"/>
      <c r="CP7" s="55"/>
      <c r="CQ7" s="40" t="s">
        <v>519</v>
      </c>
      <c r="CR7" s="146">
        <v>59260</v>
      </c>
      <c r="CS7" s="252">
        <v>0.56000000000000005</v>
      </c>
      <c r="CT7" s="250">
        <v>50995</v>
      </c>
      <c r="CU7" s="252">
        <v>0.5</v>
      </c>
      <c r="CV7" s="55"/>
      <c r="CW7" s="46" t="s">
        <v>14</v>
      </c>
      <c r="CX7" s="240">
        <v>3657</v>
      </c>
      <c r="CY7" s="240">
        <v>12175</v>
      </c>
      <c r="CZ7" s="240">
        <v>15832</v>
      </c>
      <c r="DA7" s="249">
        <v>0.76901212733703905</v>
      </c>
      <c r="DB7" s="198">
        <v>7.3878787878787904</v>
      </c>
      <c r="DC7" s="198">
        <v>1.28001400070003</v>
      </c>
      <c r="DD7" s="26"/>
    </row>
    <row r="8" spans="1:108" ht="21.6" customHeight="1" x14ac:dyDescent="0.2">
      <c r="A8" s="626"/>
      <c r="B8" s="97" t="s">
        <v>19</v>
      </c>
      <c r="C8" s="240">
        <v>4109</v>
      </c>
      <c r="D8" s="240">
        <v>1977</v>
      </c>
      <c r="E8" s="240">
        <v>2132</v>
      </c>
      <c r="F8" s="240">
        <v>53593</v>
      </c>
      <c r="G8" s="240">
        <v>55725</v>
      </c>
      <c r="H8" s="249">
        <v>0.96174069089277703</v>
      </c>
      <c r="I8" s="198">
        <v>7.8382352941176503</v>
      </c>
      <c r="J8" s="198">
        <v>1.14685314685315</v>
      </c>
      <c r="K8" s="11"/>
      <c r="L8" s="625" t="s">
        <v>160</v>
      </c>
      <c r="M8" s="236" t="s">
        <v>79</v>
      </c>
      <c r="N8" s="109">
        <f t="shared" ref="N8:U8" si="4">N9</f>
        <v>4109</v>
      </c>
      <c r="O8" s="109">
        <f t="shared" si="4"/>
        <v>0</v>
      </c>
      <c r="P8" s="109">
        <f t="shared" si="4"/>
        <v>0</v>
      </c>
      <c r="Q8" s="109">
        <f t="shared" si="4"/>
        <v>4109</v>
      </c>
      <c r="R8" s="109">
        <f t="shared" si="4"/>
        <v>39</v>
      </c>
      <c r="S8" s="109">
        <f t="shared" si="4"/>
        <v>0</v>
      </c>
      <c r="T8" s="109">
        <f t="shared" si="4"/>
        <v>1938</v>
      </c>
      <c r="U8" s="109">
        <f t="shared" si="4"/>
        <v>1977</v>
      </c>
      <c r="V8" s="55"/>
      <c r="W8" s="626"/>
      <c r="X8" s="118" t="s">
        <v>19</v>
      </c>
      <c r="Y8" s="53">
        <v>1982</v>
      </c>
      <c r="Z8" s="53">
        <v>0</v>
      </c>
      <c r="AA8" s="53">
        <v>0</v>
      </c>
      <c r="AB8" s="53">
        <v>0</v>
      </c>
      <c r="AC8" s="53">
        <v>1982</v>
      </c>
      <c r="AD8" s="55"/>
      <c r="AE8" s="626"/>
      <c r="AF8" s="118" t="s">
        <v>19</v>
      </c>
      <c r="AG8" s="53">
        <v>0</v>
      </c>
      <c r="AH8" s="53">
        <v>-5</v>
      </c>
      <c r="AI8" s="53">
        <v>0</v>
      </c>
      <c r="AJ8" s="53">
        <v>0</v>
      </c>
      <c r="AK8" s="53">
        <v>0</v>
      </c>
      <c r="AL8" s="53">
        <v>-5</v>
      </c>
      <c r="AM8" s="55"/>
      <c r="AN8" s="626"/>
      <c r="AO8" s="118" t="s">
        <v>19</v>
      </c>
      <c r="AP8" s="53">
        <v>0</v>
      </c>
      <c r="AQ8" s="53">
        <v>1345</v>
      </c>
      <c r="AR8" s="53">
        <v>998</v>
      </c>
      <c r="AS8" s="53">
        <v>1766</v>
      </c>
      <c r="AT8" s="53">
        <v>4109</v>
      </c>
      <c r="AU8" s="55"/>
      <c r="AV8" s="97" t="s">
        <v>477</v>
      </c>
      <c r="AW8" s="53">
        <v>2275</v>
      </c>
      <c r="AX8" s="53">
        <v>4337</v>
      </c>
      <c r="AY8" s="53">
        <v>4126</v>
      </c>
      <c r="AZ8" s="53">
        <v>3557</v>
      </c>
      <c r="BA8" s="53">
        <v>3671</v>
      </c>
      <c r="BB8" s="53">
        <f>AS24</f>
        <v>1908.7622000000001</v>
      </c>
      <c r="BC8" s="55"/>
      <c r="BD8" s="150" t="s">
        <v>473</v>
      </c>
      <c r="BE8" s="53">
        <v>209048</v>
      </c>
      <c r="BF8" s="53">
        <v>0</v>
      </c>
      <c r="BG8" s="53">
        <v>0</v>
      </c>
      <c r="BH8" s="53">
        <v>0</v>
      </c>
      <c r="BI8" s="53">
        <v>0</v>
      </c>
      <c r="BJ8" s="53">
        <v>0</v>
      </c>
      <c r="BK8" s="26"/>
      <c r="BL8" s="564"/>
      <c r="BM8" s="564"/>
      <c r="BN8" s="564"/>
      <c r="BP8" s="219" t="s">
        <v>520</v>
      </c>
      <c r="BQ8" s="53">
        <v>1908.7621999999999</v>
      </c>
      <c r="BR8" s="26"/>
      <c r="BS8" s="564"/>
      <c r="BT8" s="564"/>
      <c r="BU8" s="564"/>
      <c r="BV8" s="564"/>
      <c r="BW8" s="564"/>
      <c r="BX8" s="564"/>
      <c r="BY8" s="564"/>
      <c r="CA8" s="564"/>
      <c r="CB8" s="564"/>
      <c r="CC8" s="564"/>
      <c r="CD8" s="564"/>
      <c r="CE8" s="564"/>
      <c r="CF8" s="564"/>
      <c r="CG8" s="564"/>
      <c r="CI8" s="40" t="s">
        <v>19</v>
      </c>
      <c r="CJ8" s="40" t="s">
        <v>521</v>
      </c>
      <c r="CK8" s="40" t="s">
        <v>522</v>
      </c>
      <c r="CL8" s="52" t="s">
        <v>499</v>
      </c>
      <c r="CM8" s="52"/>
      <c r="CN8" s="52"/>
      <c r="CO8" s="52"/>
      <c r="CP8" s="55"/>
      <c r="CQ8" s="54" t="s">
        <v>134</v>
      </c>
      <c r="CR8" s="146">
        <v>106506</v>
      </c>
      <c r="CS8" s="40"/>
      <c r="CT8" s="253">
        <v>101540</v>
      </c>
      <c r="CU8" s="40"/>
      <c r="CV8" s="55"/>
      <c r="CW8" s="103" t="s">
        <v>50</v>
      </c>
      <c r="CX8" s="237">
        <f>SUM(CX4:CX7)</f>
        <v>32423.53</v>
      </c>
      <c r="CY8" s="237">
        <f>SUM(CY4:CY7)</f>
        <v>116422</v>
      </c>
      <c r="CZ8" s="237">
        <f>SUM(CZ4:CZ7)</f>
        <v>148845.53</v>
      </c>
      <c r="DA8" s="243">
        <f>CY8/CZ8</f>
        <v>0.78216658572145226</v>
      </c>
      <c r="DB8" s="244">
        <f>CX8/SUM('2020 Normalizing Denominators'!E8,'2020 Normalizing Denominators'!E14,'2020 Normalizing Denominators'!E16,'2020 Normalizing Denominators'!E23)</f>
        <v>13.498555370524562</v>
      </c>
      <c r="DC8" s="244">
        <v>0.7</v>
      </c>
      <c r="DD8" s="26"/>
    </row>
    <row r="9" spans="1:108" ht="42" customHeight="1" x14ac:dyDescent="0.2">
      <c r="A9" s="626"/>
      <c r="B9" s="446" t="s">
        <v>82</v>
      </c>
      <c r="C9" s="237">
        <f>SUM(C10:C12)</f>
        <v>18210.891199999998</v>
      </c>
      <c r="D9" s="237">
        <f>SUM(D10:D12)</f>
        <v>12322</v>
      </c>
      <c r="E9" s="237">
        <f>SUM(E10:E12)</f>
        <v>5888.8912</v>
      </c>
      <c r="F9" s="237">
        <f>SUM(F10:F12)</f>
        <v>12638</v>
      </c>
      <c r="G9" s="237">
        <f>SUM(G10:G12)</f>
        <v>18526.891199999998</v>
      </c>
      <c r="H9" s="243">
        <f>F9/(E9+F9)</f>
        <v>0.68214358596762315</v>
      </c>
      <c r="I9" s="244">
        <f>E9/'2020 Normalizing Denominators'!E9</f>
        <v>9.4829165861513687</v>
      </c>
      <c r="J9" s="244">
        <v>0.77761669087547902</v>
      </c>
      <c r="K9" s="11"/>
      <c r="L9" s="626"/>
      <c r="M9" s="118" t="s">
        <v>19</v>
      </c>
      <c r="N9" s="53">
        <v>4109</v>
      </c>
      <c r="O9" s="53">
        <v>0</v>
      </c>
      <c r="P9" s="53">
        <v>0</v>
      </c>
      <c r="Q9" s="53">
        <v>4109</v>
      </c>
      <c r="R9" s="53">
        <v>39</v>
      </c>
      <c r="S9" s="53">
        <v>0</v>
      </c>
      <c r="T9" s="53">
        <v>1938</v>
      </c>
      <c r="U9" s="53">
        <v>1977</v>
      </c>
      <c r="V9" s="55"/>
      <c r="W9" s="626"/>
      <c r="X9" s="236" t="s">
        <v>82</v>
      </c>
      <c r="Y9" s="109">
        <f>SUM(Y10:Y12)</f>
        <v>7037</v>
      </c>
      <c r="Z9" s="109">
        <f>SUM(Z10:Z12)</f>
        <v>0</v>
      </c>
      <c r="AA9" s="109">
        <f>SUM(AA10:AA12)</f>
        <v>0</v>
      </c>
      <c r="AB9" s="109">
        <f>SUM(AB10:AB12)</f>
        <v>0</v>
      </c>
      <c r="AC9" s="109">
        <f>SUM(AC10:AC12)</f>
        <v>7037</v>
      </c>
      <c r="AD9" s="55"/>
      <c r="AE9" s="626"/>
      <c r="AF9" s="236" t="s">
        <v>82</v>
      </c>
      <c r="AG9" s="109">
        <f t="shared" ref="AG9:AL9" si="5">SUM(AG10:AG12)</f>
        <v>0</v>
      </c>
      <c r="AH9" s="109">
        <f t="shared" si="5"/>
        <v>0</v>
      </c>
      <c r="AI9" s="109">
        <f t="shared" si="5"/>
        <v>0</v>
      </c>
      <c r="AJ9" s="109">
        <f t="shared" si="5"/>
        <v>5285</v>
      </c>
      <c r="AK9" s="109">
        <f t="shared" si="5"/>
        <v>0</v>
      </c>
      <c r="AL9" s="109">
        <f t="shared" si="5"/>
        <v>5285</v>
      </c>
      <c r="AM9" s="55"/>
      <c r="AN9" s="626"/>
      <c r="AO9" s="92" t="s">
        <v>82</v>
      </c>
      <c r="AP9" s="109">
        <f>SUM(AP10:AP12)</f>
        <v>2881.5</v>
      </c>
      <c r="AQ9" s="109">
        <f>SUM(AQ10:AQ12)</f>
        <v>9353</v>
      </c>
      <c r="AR9" s="109">
        <f>SUM(AR10:AR12)</f>
        <v>5918.8</v>
      </c>
      <c r="AS9" s="254">
        <f>SUM(AS10:AS12)</f>
        <v>57.591200000000001</v>
      </c>
      <c r="AT9" s="109">
        <f>SUM(AT10:AT12)</f>
        <v>18210.891199999998</v>
      </c>
      <c r="AU9" s="55"/>
      <c r="AV9" s="97" t="s">
        <v>523</v>
      </c>
      <c r="AW9" s="53">
        <v>62687</v>
      </c>
      <c r="AX9" s="53">
        <v>0</v>
      </c>
      <c r="AY9" s="53">
        <v>0</v>
      </c>
      <c r="AZ9" s="53">
        <v>0</v>
      </c>
      <c r="BA9" s="53">
        <v>0</v>
      </c>
      <c r="BB9" s="53">
        <v>0</v>
      </c>
      <c r="BC9" s="55"/>
      <c r="BD9" s="103" t="s">
        <v>474</v>
      </c>
      <c r="BE9" s="109">
        <v>295344</v>
      </c>
      <c r="BF9" s="109">
        <v>18017</v>
      </c>
      <c r="BG9" s="109">
        <v>34769</v>
      </c>
      <c r="BH9" s="109">
        <v>26573</v>
      </c>
      <c r="BI9" s="109">
        <v>9555</v>
      </c>
      <c r="BJ9" s="109">
        <v>17129.599999999999</v>
      </c>
      <c r="BK9" s="26"/>
      <c r="BL9" s="564"/>
      <c r="BM9" s="564"/>
      <c r="BN9" s="564"/>
      <c r="BP9" s="497" t="s">
        <v>1261</v>
      </c>
      <c r="BQ9" s="469">
        <v>257563.008</v>
      </c>
      <c r="BR9" s="26"/>
      <c r="BS9" s="564"/>
      <c r="BT9" s="564"/>
      <c r="BU9" s="564"/>
      <c r="BV9" s="564"/>
      <c r="BW9" s="564"/>
      <c r="BX9" s="564"/>
      <c r="BY9" s="564"/>
      <c r="CA9" s="564"/>
      <c r="CB9" s="564"/>
      <c r="CC9" s="564"/>
      <c r="CD9" s="564"/>
      <c r="CE9" s="564"/>
      <c r="CF9" s="564"/>
      <c r="CG9" s="564"/>
      <c r="CI9" s="40" t="s">
        <v>163</v>
      </c>
      <c r="CJ9" s="40" t="s">
        <v>524</v>
      </c>
      <c r="CK9" s="40" t="s">
        <v>504</v>
      </c>
      <c r="CL9" s="52"/>
      <c r="CM9" s="52"/>
      <c r="CN9" s="52" t="s">
        <v>499</v>
      </c>
      <c r="CO9" s="52"/>
      <c r="CP9" s="26"/>
      <c r="CQ9" s="592" t="s">
        <v>1168</v>
      </c>
      <c r="CR9" s="593"/>
      <c r="CS9" s="593"/>
      <c r="CT9" s="593"/>
      <c r="CU9" s="593"/>
      <c r="CW9" s="81"/>
      <c r="CX9" s="81"/>
      <c r="CY9" s="81"/>
      <c r="CZ9" s="81"/>
      <c r="DA9" s="81"/>
      <c r="DB9" s="81"/>
      <c r="DC9" s="81"/>
    </row>
    <row r="10" spans="1:108" ht="21.6" customHeight="1" x14ac:dyDescent="0.2">
      <c r="A10" s="626"/>
      <c r="B10" s="97" t="s">
        <v>163</v>
      </c>
      <c r="C10" s="240">
        <v>3823.1030000000001</v>
      </c>
      <c r="D10" s="240">
        <v>3019</v>
      </c>
      <c r="E10" s="240">
        <v>804.10299999999995</v>
      </c>
      <c r="F10" s="240">
        <v>3407</v>
      </c>
      <c r="G10" s="240">
        <v>4211.1030000000001</v>
      </c>
      <c r="H10" s="249">
        <v>0.80905169025787305</v>
      </c>
      <c r="I10" s="198">
        <v>3.9807079207920801</v>
      </c>
      <c r="J10" s="198">
        <v>0.33928396624472601</v>
      </c>
      <c r="K10" s="11"/>
      <c r="L10" s="626"/>
      <c r="M10" s="236" t="s">
        <v>82</v>
      </c>
      <c r="N10" s="109">
        <f t="shared" ref="N10:U10" si="6">SUM(N11:N13)</f>
        <v>6037.9639999999999</v>
      </c>
      <c r="O10" s="109">
        <f t="shared" si="6"/>
        <v>1988.5</v>
      </c>
      <c r="P10" s="109">
        <f t="shared" si="6"/>
        <v>10184</v>
      </c>
      <c r="Q10" s="109">
        <f t="shared" si="6"/>
        <v>18210.464</v>
      </c>
      <c r="R10" s="109">
        <f t="shared" si="6"/>
        <v>0</v>
      </c>
      <c r="S10" s="109">
        <f t="shared" si="6"/>
        <v>4868</v>
      </c>
      <c r="T10" s="109">
        <f t="shared" si="6"/>
        <v>7454</v>
      </c>
      <c r="U10" s="109">
        <f t="shared" si="6"/>
        <v>12322</v>
      </c>
      <c r="V10" s="55"/>
      <c r="W10" s="626"/>
      <c r="X10" s="118" t="s">
        <v>163</v>
      </c>
      <c r="Y10" s="53">
        <v>3019</v>
      </c>
      <c r="Z10" s="53">
        <v>0</v>
      </c>
      <c r="AA10" s="53">
        <v>0</v>
      </c>
      <c r="AB10" s="53">
        <v>0</v>
      </c>
      <c r="AC10" s="53">
        <v>3019</v>
      </c>
      <c r="AD10" s="55"/>
      <c r="AE10" s="626"/>
      <c r="AF10" s="118" t="s">
        <v>163</v>
      </c>
      <c r="AG10" s="53">
        <v>0</v>
      </c>
      <c r="AH10" s="53">
        <v>0</v>
      </c>
      <c r="AI10" s="53">
        <v>0</v>
      </c>
      <c r="AJ10" s="53">
        <v>0</v>
      </c>
      <c r="AK10" s="53">
        <v>0</v>
      </c>
      <c r="AL10" s="53">
        <v>0</v>
      </c>
      <c r="AM10" s="55"/>
      <c r="AN10" s="626"/>
      <c r="AO10" s="118" t="s">
        <v>163</v>
      </c>
      <c r="AP10" s="53">
        <v>0</v>
      </c>
      <c r="AQ10" s="53">
        <v>3278</v>
      </c>
      <c r="AR10" s="53">
        <v>545</v>
      </c>
      <c r="AS10" s="148">
        <v>0.10299999999999999</v>
      </c>
      <c r="AT10" s="53">
        <v>3823.1030000000001</v>
      </c>
      <c r="AU10" s="55"/>
      <c r="AV10" s="97" t="s">
        <v>525</v>
      </c>
      <c r="AW10" s="53">
        <v>209048</v>
      </c>
      <c r="AX10" s="53">
        <v>0</v>
      </c>
      <c r="AY10" s="53">
        <v>0</v>
      </c>
      <c r="AZ10" s="53">
        <v>0</v>
      </c>
      <c r="BA10" s="53">
        <v>0</v>
      </c>
      <c r="BB10" s="53">
        <v>0</v>
      </c>
      <c r="BC10" s="55"/>
      <c r="BD10" s="150" t="s">
        <v>465</v>
      </c>
      <c r="BE10" s="53">
        <v>38882</v>
      </c>
      <c r="BF10" s="53">
        <v>35858</v>
      </c>
      <c r="BG10" s="53">
        <v>27795</v>
      </c>
      <c r="BH10" s="53">
        <v>60247</v>
      </c>
      <c r="BI10" s="53">
        <v>47425</v>
      </c>
      <c r="BJ10" s="53">
        <v>40494.749000000003</v>
      </c>
      <c r="BK10" s="26"/>
      <c r="BP10" s="497" t="s">
        <v>1262</v>
      </c>
      <c r="BQ10" s="44">
        <v>101540.8942</v>
      </c>
      <c r="BR10" s="26"/>
      <c r="BS10" s="564"/>
      <c r="BT10" s="564"/>
      <c r="BU10" s="564"/>
      <c r="BV10" s="564"/>
      <c r="BW10" s="564"/>
      <c r="BX10" s="564"/>
      <c r="BY10" s="564"/>
      <c r="CA10" s="564"/>
      <c r="CB10" s="564"/>
      <c r="CC10" s="564"/>
      <c r="CD10" s="564"/>
      <c r="CE10" s="564"/>
      <c r="CF10" s="564"/>
      <c r="CG10" s="564"/>
      <c r="CI10" s="40" t="s">
        <v>164</v>
      </c>
      <c r="CJ10" s="40" t="s">
        <v>521</v>
      </c>
      <c r="CK10" s="40" t="s">
        <v>498</v>
      </c>
      <c r="CL10" s="52"/>
      <c r="CM10" s="52" t="s">
        <v>499</v>
      </c>
      <c r="CN10" s="52"/>
      <c r="CO10" s="52"/>
      <c r="CP10" s="26"/>
      <c r="CQ10" s="594"/>
      <c r="CR10" s="594"/>
      <c r="CS10" s="613"/>
      <c r="CT10" s="613"/>
      <c r="CU10" s="594"/>
    </row>
    <row r="11" spans="1:108" ht="29.25" customHeight="1" x14ac:dyDescent="0.2">
      <c r="A11" s="626"/>
      <c r="B11" s="97" t="s">
        <v>164</v>
      </c>
      <c r="C11" s="240">
        <v>1971.3</v>
      </c>
      <c r="D11" s="240">
        <v>1895</v>
      </c>
      <c r="E11" s="240">
        <v>76.3</v>
      </c>
      <c r="F11" s="240">
        <v>1043</v>
      </c>
      <c r="G11" s="240">
        <v>1119.3</v>
      </c>
      <c r="H11" s="249">
        <v>0.93183239524702899</v>
      </c>
      <c r="I11" s="198">
        <v>0.76300000000000001</v>
      </c>
      <c r="J11" s="198">
        <v>8.3115468409586002E-2</v>
      </c>
      <c r="K11" s="11"/>
      <c r="L11" s="626"/>
      <c r="M11" s="118" t="s">
        <v>163</v>
      </c>
      <c r="N11" s="53">
        <v>593</v>
      </c>
      <c r="O11" s="53">
        <v>0</v>
      </c>
      <c r="P11" s="53">
        <v>3230</v>
      </c>
      <c r="Q11" s="53">
        <v>3823</v>
      </c>
      <c r="R11" s="53">
        <v>0</v>
      </c>
      <c r="S11" s="53">
        <v>2973</v>
      </c>
      <c r="T11" s="53">
        <v>46</v>
      </c>
      <c r="U11" s="53">
        <v>3019</v>
      </c>
      <c r="V11" s="55"/>
      <c r="W11" s="626"/>
      <c r="X11" s="118" t="s">
        <v>164</v>
      </c>
      <c r="Y11" s="53">
        <v>1895</v>
      </c>
      <c r="Z11" s="53">
        <v>0</v>
      </c>
      <c r="AA11" s="53">
        <v>0</v>
      </c>
      <c r="AB11" s="53">
        <v>0</v>
      </c>
      <c r="AC11" s="53">
        <v>1895</v>
      </c>
      <c r="AD11" s="55"/>
      <c r="AE11" s="626"/>
      <c r="AF11" s="118" t="s">
        <v>164</v>
      </c>
      <c r="AG11" s="53">
        <v>0</v>
      </c>
      <c r="AH11" s="53">
        <v>0</v>
      </c>
      <c r="AI11" s="53">
        <v>0</v>
      </c>
      <c r="AJ11" s="53">
        <v>0</v>
      </c>
      <c r="AK11" s="53">
        <v>0</v>
      </c>
      <c r="AL11" s="53">
        <v>0</v>
      </c>
      <c r="AM11" s="55"/>
      <c r="AN11" s="626"/>
      <c r="AO11" s="118" t="s">
        <v>164</v>
      </c>
      <c r="AP11" s="53">
        <v>371.5</v>
      </c>
      <c r="AQ11" s="53">
        <v>1330</v>
      </c>
      <c r="AR11" s="53">
        <v>269.8</v>
      </c>
      <c r="AS11" s="148">
        <v>0</v>
      </c>
      <c r="AT11" s="53">
        <v>1971.3</v>
      </c>
      <c r="AU11" s="55"/>
      <c r="AV11" s="46" t="s">
        <v>526</v>
      </c>
      <c r="AW11" s="44">
        <v>128874</v>
      </c>
      <c r="AX11" s="44">
        <v>107586</v>
      </c>
      <c r="AY11" s="44">
        <v>115747</v>
      </c>
      <c r="AZ11" s="44">
        <v>104816</v>
      </c>
      <c r="BA11" s="44">
        <v>106413</v>
      </c>
      <c r="BB11" s="44">
        <f>BB4-U25</f>
        <v>101540.89420000001</v>
      </c>
      <c r="BC11" s="55"/>
      <c r="BD11" s="150" t="s">
        <v>466</v>
      </c>
      <c r="BE11" s="10"/>
      <c r="BF11" s="53">
        <v>0</v>
      </c>
      <c r="BG11" s="53">
        <v>0</v>
      </c>
      <c r="BH11" s="53">
        <v>0</v>
      </c>
      <c r="BI11" s="53">
        <v>0</v>
      </c>
      <c r="BJ11" s="53">
        <v>0</v>
      </c>
      <c r="BK11" s="26"/>
      <c r="BP11" s="497" t="s">
        <v>1263</v>
      </c>
      <c r="BQ11" s="255">
        <f>SUM(BQ12:BQ13)</f>
        <v>88830.349000000002</v>
      </c>
      <c r="BR11" s="26"/>
      <c r="CI11" s="40" t="s">
        <v>25</v>
      </c>
      <c r="CJ11" s="40" t="s">
        <v>518</v>
      </c>
      <c r="CK11" s="40" t="s">
        <v>504</v>
      </c>
      <c r="CL11" s="52" t="s">
        <v>499</v>
      </c>
      <c r="CM11" s="52"/>
      <c r="CN11" s="52"/>
      <c r="CO11" s="52" t="s">
        <v>499</v>
      </c>
      <c r="CP11" s="26"/>
      <c r="CQ11" s="7"/>
      <c r="CR11" s="7"/>
      <c r="CU11" s="7"/>
    </row>
    <row r="12" spans="1:108" ht="25.5" customHeight="1" x14ac:dyDescent="0.2">
      <c r="A12" s="626"/>
      <c r="B12" s="97" t="s">
        <v>527</v>
      </c>
      <c r="C12" s="240">
        <v>12416.4882</v>
      </c>
      <c r="D12" s="240">
        <v>7408</v>
      </c>
      <c r="E12" s="240">
        <v>5008.4881999999998</v>
      </c>
      <c r="F12" s="240">
        <v>8188</v>
      </c>
      <c r="G12" s="240">
        <v>13196.4882</v>
      </c>
      <c r="H12" s="249">
        <v>0.62046810302152999</v>
      </c>
      <c r="I12" s="198">
        <v>15.700589968652</v>
      </c>
      <c r="J12" s="198">
        <v>1.1688420536756099</v>
      </c>
      <c r="K12" s="11"/>
      <c r="L12" s="626"/>
      <c r="M12" s="118" t="s">
        <v>164</v>
      </c>
      <c r="N12" s="53">
        <v>269.8</v>
      </c>
      <c r="O12" s="53">
        <v>1701.5</v>
      </c>
      <c r="P12" s="53">
        <v>0</v>
      </c>
      <c r="Q12" s="53">
        <v>1971.3</v>
      </c>
      <c r="R12" s="53">
        <v>0</v>
      </c>
      <c r="S12" s="53">
        <v>1895</v>
      </c>
      <c r="T12" s="53">
        <v>0</v>
      </c>
      <c r="U12" s="53">
        <v>1895</v>
      </c>
      <c r="V12" s="55"/>
      <c r="W12" s="626"/>
      <c r="X12" s="505" t="s">
        <v>29</v>
      </c>
      <c r="Y12" s="53">
        <v>2123</v>
      </c>
      <c r="Z12" s="53">
        <v>0</v>
      </c>
      <c r="AA12" s="53">
        <v>0</v>
      </c>
      <c r="AB12" s="53">
        <v>0</v>
      </c>
      <c r="AC12" s="53">
        <v>2123</v>
      </c>
      <c r="AD12" s="55"/>
      <c r="AE12" s="626"/>
      <c r="AF12" s="118" t="s">
        <v>528</v>
      </c>
      <c r="AG12" s="53">
        <v>0</v>
      </c>
      <c r="AH12" s="53">
        <v>0</v>
      </c>
      <c r="AI12" s="53">
        <v>0</v>
      </c>
      <c r="AJ12" s="53">
        <v>5285</v>
      </c>
      <c r="AK12" s="53">
        <v>0</v>
      </c>
      <c r="AL12" s="53">
        <v>5285</v>
      </c>
      <c r="AM12" s="55"/>
      <c r="AN12" s="626"/>
      <c r="AO12" s="505" t="s">
        <v>29</v>
      </c>
      <c r="AP12" s="53">
        <v>2510</v>
      </c>
      <c r="AQ12" s="53">
        <v>4745</v>
      </c>
      <c r="AR12" s="53">
        <v>5104</v>
      </c>
      <c r="AS12" s="148">
        <v>57.488199999999999</v>
      </c>
      <c r="AT12" s="53">
        <v>12416.4882</v>
      </c>
      <c r="AU12" s="55"/>
      <c r="AV12" s="42" t="s">
        <v>461</v>
      </c>
      <c r="AW12" s="44">
        <v>185742</v>
      </c>
      <c r="AX12" s="44">
        <v>227960</v>
      </c>
      <c r="AY12" s="44">
        <v>297379</v>
      </c>
      <c r="AZ12" s="44">
        <v>271699</v>
      </c>
      <c r="BA12" s="44">
        <v>263210</v>
      </c>
      <c r="BB12" s="44">
        <f>F24</f>
        <v>257563.00800000003</v>
      </c>
      <c r="BC12" s="55"/>
      <c r="BD12" s="150" t="s">
        <v>529</v>
      </c>
      <c r="BE12" s="48"/>
      <c r="BF12" s="53">
        <v>39691</v>
      </c>
      <c r="BG12" s="53">
        <v>39016</v>
      </c>
      <c r="BH12" s="53">
        <v>38621</v>
      </c>
      <c r="BI12" s="53">
        <v>35099</v>
      </c>
      <c r="BJ12" s="53">
        <v>31206</v>
      </c>
      <c r="BK12" s="26"/>
      <c r="BP12" s="219" t="s">
        <v>530</v>
      </c>
      <c r="BQ12" s="246">
        <f>SUM(AC24,AJ24)</f>
        <v>76985.748999999996</v>
      </c>
      <c r="BR12" s="26"/>
      <c r="CI12" s="40" t="s">
        <v>531</v>
      </c>
      <c r="CJ12" s="40" t="s">
        <v>521</v>
      </c>
      <c r="CK12" s="40" t="s">
        <v>532</v>
      </c>
      <c r="CL12" s="52"/>
      <c r="CM12" s="52" t="s">
        <v>499</v>
      </c>
      <c r="CN12" s="52"/>
      <c r="CO12" s="52" t="s">
        <v>499</v>
      </c>
      <c r="CP12" s="26"/>
      <c r="CQ12" s="7"/>
      <c r="CR12" s="7"/>
      <c r="CU12" s="7"/>
    </row>
    <row r="13" spans="1:108" ht="25.5" customHeight="1" x14ac:dyDescent="0.2">
      <c r="A13" s="626"/>
      <c r="B13" s="446" t="s">
        <v>86</v>
      </c>
      <c r="C13" s="237">
        <f t="shared" ref="C13:J13" si="7">C14</f>
        <v>27889.53</v>
      </c>
      <c r="D13" s="237">
        <f t="shared" si="7"/>
        <v>1829</v>
      </c>
      <c r="E13" s="237">
        <f t="shared" si="7"/>
        <v>26060.53</v>
      </c>
      <c r="F13" s="237">
        <f t="shared" si="7"/>
        <v>49958</v>
      </c>
      <c r="G13" s="237">
        <f t="shared" si="7"/>
        <v>76018.53</v>
      </c>
      <c r="H13" s="243">
        <f t="shared" si="7"/>
        <v>0.65718187394573402</v>
      </c>
      <c r="I13" s="244">
        <f t="shared" si="7"/>
        <v>18.3654193093728</v>
      </c>
      <c r="J13" s="244">
        <f t="shared" si="7"/>
        <v>0.635622682926829</v>
      </c>
      <c r="K13" s="11"/>
      <c r="L13" s="626"/>
      <c r="M13" s="118" t="s">
        <v>527</v>
      </c>
      <c r="N13" s="53">
        <v>5175.1639999999998</v>
      </c>
      <c r="O13" s="53">
        <v>287</v>
      </c>
      <c r="P13" s="53">
        <v>6954</v>
      </c>
      <c r="Q13" s="53">
        <v>12416.164000000001</v>
      </c>
      <c r="R13" s="53">
        <v>0</v>
      </c>
      <c r="S13" s="53">
        <v>0</v>
      </c>
      <c r="T13" s="53">
        <v>7408</v>
      </c>
      <c r="U13" s="53">
        <v>7408</v>
      </c>
      <c r="V13" s="55"/>
      <c r="W13" s="626"/>
      <c r="X13" s="236" t="s">
        <v>86</v>
      </c>
      <c r="Y13" s="109">
        <f>Y14</f>
        <v>260</v>
      </c>
      <c r="Z13" s="109">
        <f>Z14</f>
        <v>0</v>
      </c>
      <c r="AA13" s="109">
        <f>AA14</f>
        <v>0</v>
      </c>
      <c r="AB13" s="109">
        <f>AB14</f>
        <v>0</v>
      </c>
      <c r="AC13" s="109">
        <f>AC14</f>
        <v>260</v>
      </c>
      <c r="AD13" s="55"/>
      <c r="AE13" s="626"/>
      <c r="AF13" s="236" t="s">
        <v>86</v>
      </c>
      <c r="AG13" s="109">
        <f t="shared" ref="AG13:AL13" si="8">AG14</f>
        <v>0</v>
      </c>
      <c r="AH13" s="109">
        <f t="shared" si="8"/>
        <v>1569</v>
      </c>
      <c r="AI13" s="109">
        <f t="shared" si="8"/>
        <v>0</v>
      </c>
      <c r="AJ13" s="109">
        <f t="shared" si="8"/>
        <v>0</v>
      </c>
      <c r="AK13" s="109">
        <f t="shared" si="8"/>
        <v>0</v>
      </c>
      <c r="AL13" s="109">
        <f t="shared" si="8"/>
        <v>1569</v>
      </c>
      <c r="AM13" s="55"/>
      <c r="AN13" s="626"/>
      <c r="AO13" s="92" t="s">
        <v>86</v>
      </c>
      <c r="AP13" s="109">
        <f>AP14</f>
        <v>0</v>
      </c>
      <c r="AQ13" s="109">
        <f>AQ14</f>
        <v>25402.3</v>
      </c>
      <c r="AR13" s="109">
        <f>AR14</f>
        <v>2486.0300000000002</v>
      </c>
      <c r="AS13" s="254">
        <f>AS14</f>
        <v>1.2</v>
      </c>
      <c r="AT13" s="109">
        <f>AT14</f>
        <v>27889.53</v>
      </c>
      <c r="AU13" s="55"/>
      <c r="AV13" s="46" t="s">
        <v>533</v>
      </c>
      <c r="AW13" s="44">
        <v>314616</v>
      </c>
      <c r="AX13" s="44">
        <v>335546</v>
      </c>
      <c r="AY13" s="44">
        <v>413126</v>
      </c>
      <c r="AZ13" s="44">
        <v>376515</v>
      </c>
      <c r="BA13" s="44">
        <v>369623</v>
      </c>
      <c r="BB13" s="44">
        <f>BB11+BB12</f>
        <v>359103.90220000001</v>
      </c>
      <c r="BC13" s="55"/>
      <c r="BD13" s="150" t="s">
        <v>467</v>
      </c>
      <c r="BE13" s="53">
        <v>0</v>
      </c>
      <c r="BF13" s="53">
        <v>0</v>
      </c>
      <c r="BG13" s="53">
        <v>0</v>
      </c>
      <c r="BH13" s="53">
        <v>0</v>
      </c>
      <c r="BI13" s="53">
        <v>58</v>
      </c>
      <c r="BJ13" s="53">
        <v>0</v>
      </c>
      <c r="BK13" s="26"/>
      <c r="BP13" s="219" t="s">
        <v>534</v>
      </c>
      <c r="BQ13" s="246">
        <v>11844.6</v>
      </c>
      <c r="BR13" s="26"/>
      <c r="CI13" s="40" t="s">
        <v>11</v>
      </c>
      <c r="CJ13" s="40" t="s">
        <v>518</v>
      </c>
      <c r="CK13" s="40" t="s">
        <v>504</v>
      </c>
      <c r="CL13" s="52" t="s">
        <v>499</v>
      </c>
      <c r="CM13" s="52"/>
      <c r="CN13" s="52"/>
      <c r="CO13" s="52" t="s">
        <v>499</v>
      </c>
      <c r="CP13" s="26"/>
      <c r="CQ13" s="7"/>
      <c r="CR13" s="7"/>
      <c r="CU13" s="7"/>
    </row>
    <row r="14" spans="1:108" ht="26.25" customHeight="1" x14ac:dyDescent="0.2">
      <c r="A14" s="622"/>
      <c r="B14" s="97" t="s">
        <v>25</v>
      </c>
      <c r="C14" s="240">
        <v>27889.53</v>
      </c>
      <c r="D14" s="240">
        <v>1829</v>
      </c>
      <c r="E14" s="240">
        <v>26060.53</v>
      </c>
      <c r="F14" s="240">
        <v>49958</v>
      </c>
      <c r="G14" s="240">
        <v>76018.53</v>
      </c>
      <c r="H14" s="249">
        <v>0.65718187394573402</v>
      </c>
      <c r="I14" s="198">
        <v>18.3654193093728</v>
      </c>
      <c r="J14" s="198">
        <v>0.635622682926829</v>
      </c>
      <c r="K14" s="11"/>
      <c r="L14" s="626"/>
      <c r="M14" s="236" t="s">
        <v>86</v>
      </c>
      <c r="N14" s="109">
        <f t="shared" ref="N14:U14" si="9">N15</f>
        <v>2487.23</v>
      </c>
      <c r="O14" s="109">
        <f t="shared" si="9"/>
        <v>0</v>
      </c>
      <c r="P14" s="109">
        <f t="shared" si="9"/>
        <v>25402.3</v>
      </c>
      <c r="Q14" s="109">
        <f t="shared" si="9"/>
        <v>27889.53</v>
      </c>
      <c r="R14" s="109">
        <f t="shared" si="9"/>
        <v>183</v>
      </c>
      <c r="S14" s="109">
        <f t="shared" si="9"/>
        <v>0</v>
      </c>
      <c r="T14" s="109">
        <f t="shared" si="9"/>
        <v>1646.1</v>
      </c>
      <c r="U14" s="109">
        <f t="shared" si="9"/>
        <v>1829.1</v>
      </c>
      <c r="V14" s="55"/>
      <c r="W14" s="622"/>
      <c r="X14" s="505" t="s">
        <v>25</v>
      </c>
      <c r="Y14" s="13">
        <v>260</v>
      </c>
      <c r="Z14" s="13">
        <v>0</v>
      </c>
      <c r="AA14" s="13">
        <v>0</v>
      </c>
      <c r="AB14" s="13">
        <v>0</v>
      </c>
      <c r="AC14" s="13">
        <v>260</v>
      </c>
      <c r="AD14" s="55"/>
      <c r="AE14" s="622"/>
      <c r="AF14" s="118" t="s">
        <v>25</v>
      </c>
      <c r="AG14" s="53">
        <v>0</v>
      </c>
      <c r="AH14" s="53">
        <v>1569</v>
      </c>
      <c r="AI14" s="53">
        <v>0</v>
      </c>
      <c r="AJ14" s="53">
        <v>0</v>
      </c>
      <c r="AK14" s="53">
        <v>0</v>
      </c>
      <c r="AL14" s="53">
        <v>1569</v>
      </c>
      <c r="AM14" s="55"/>
      <c r="AN14" s="622"/>
      <c r="AO14" s="118" t="s">
        <v>25</v>
      </c>
      <c r="AP14" s="53">
        <v>0</v>
      </c>
      <c r="AQ14" s="53">
        <v>25402.3</v>
      </c>
      <c r="AR14" s="53">
        <v>2486.0300000000002</v>
      </c>
      <c r="AS14" s="148">
        <v>1.2</v>
      </c>
      <c r="AT14" s="53">
        <v>27889.53</v>
      </c>
      <c r="AU14" s="55"/>
      <c r="AV14" s="475" t="s">
        <v>535</v>
      </c>
      <c r="AW14" s="256">
        <v>0.59</v>
      </c>
      <c r="AX14" s="517">
        <v>0.68</v>
      </c>
      <c r="AY14" s="517">
        <v>0.72</v>
      </c>
      <c r="AZ14" s="517">
        <v>0.72</v>
      </c>
      <c r="BA14" s="517">
        <v>0.71</v>
      </c>
      <c r="BB14" s="257">
        <f>H24</f>
        <v>0.70913357831206003</v>
      </c>
      <c r="BC14" s="55"/>
      <c r="BD14" s="103" t="s">
        <v>536</v>
      </c>
      <c r="BE14" s="109">
        <v>78811</v>
      </c>
      <c r="BF14" s="109">
        <v>75549</v>
      </c>
      <c r="BG14" s="109">
        <v>66811</v>
      </c>
      <c r="BH14" s="109">
        <v>98868</v>
      </c>
      <c r="BI14" s="109">
        <v>82581</v>
      </c>
      <c r="BJ14" s="109">
        <v>71700.748999999996</v>
      </c>
      <c r="BK14" s="26"/>
      <c r="BP14" s="572" t="s">
        <v>1258</v>
      </c>
      <c r="BQ14" s="566"/>
      <c r="CI14" s="40" t="s">
        <v>167</v>
      </c>
      <c r="CJ14" s="40" t="s">
        <v>521</v>
      </c>
      <c r="CK14" s="40" t="s">
        <v>504</v>
      </c>
      <c r="CL14" s="52"/>
      <c r="CM14" s="52" t="s">
        <v>499</v>
      </c>
      <c r="CN14" s="52" t="s">
        <v>499</v>
      </c>
      <c r="CO14" s="52" t="s">
        <v>499</v>
      </c>
      <c r="CP14" s="26"/>
      <c r="CQ14" s="7"/>
      <c r="CR14" s="7"/>
      <c r="CU14" s="7"/>
    </row>
    <row r="15" spans="1:108" ht="39.200000000000003" customHeight="1" x14ac:dyDescent="0.2">
      <c r="A15" s="623" t="s">
        <v>166</v>
      </c>
      <c r="B15" s="446" t="s">
        <v>89</v>
      </c>
      <c r="C15" s="237">
        <f t="shared" ref="C15:J15" si="10">C16</f>
        <v>592</v>
      </c>
      <c r="D15" s="237">
        <f t="shared" si="10"/>
        <v>18</v>
      </c>
      <c r="E15" s="237">
        <f t="shared" si="10"/>
        <v>574</v>
      </c>
      <c r="F15" s="237">
        <f t="shared" si="10"/>
        <v>696</v>
      </c>
      <c r="G15" s="237">
        <f t="shared" si="10"/>
        <v>1270</v>
      </c>
      <c r="H15" s="243">
        <f t="shared" si="10"/>
        <v>0.54803149606299195</v>
      </c>
      <c r="I15" s="244">
        <f t="shared" si="10"/>
        <v>2.6574074074074101</v>
      </c>
      <c r="J15" s="244">
        <f t="shared" si="10"/>
        <v>0.38705327039784199</v>
      </c>
      <c r="K15" s="11"/>
      <c r="L15" s="622"/>
      <c r="M15" s="118" t="s">
        <v>25</v>
      </c>
      <c r="N15" s="53">
        <v>2487.23</v>
      </c>
      <c r="O15" s="53">
        <v>0</v>
      </c>
      <c r="P15" s="53">
        <v>25402.3</v>
      </c>
      <c r="Q15" s="53">
        <v>27889.53</v>
      </c>
      <c r="R15" s="53">
        <v>183</v>
      </c>
      <c r="S15" s="53">
        <v>0</v>
      </c>
      <c r="T15" s="53">
        <v>1646.1</v>
      </c>
      <c r="U15" s="53">
        <v>1829.1</v>
      </c>
      <c r="V15" s="55"/>
      <c r="W15" s="623" t="s">
        <v>166</v>
      </c>
      <c r="X15" s="236" t="s">
        <v>89</v>
      </c>
      <c r="Y15" s="109">
        <f>Y16</f>
        <v>0</v>
      </c>
      <c r="Z15" s="109">
        <f>Z16</f>
        <v>0</v>
      </c>
      <c r="AA15" s="109">
        <f>AA16</f>
        <v>0</v>
      </c>
      <c r="AB15" s="109">
        <f>AB16</f>
        <v>0</v>
      </c>
      <c r="AC15" s="109">
        <f>AC16</f>
        <v>0</v>
      </c>
      <c r="AD15" s="55"/>
      <c r="AE15" s="623" t="s">
        <v>166</v>
      </c>
      <c r="AF15" s="236" t="s">
        <v>89</v>
      </c>
      <c r="AG15" s="109">
        <f t="shared" ref="AG15:AL15" si="11">AG16</f>
        <v>0</v>
      </c>
      <c r="AH15" s="109">
        <f t="shared" si="11"/>
        <v>18</v>
      </c>
      <c r="AI15" s="109">
        <f t="shared" si="11"/>
        <v>0</v>
      </c>
      <c r="AJ15" s="109">
        <f t="shared" si="11"/>
        <v>0</v>
      </c>
      <c r="AK15" s="109">
        <f t="shared" si="11"/>
        <v>0</v>
      </c>
      <c r="AL15" s="109">
        <f t="shared" si="11"/>
        <v>18</v>
      </c>
      <c r="AM15" s="55"/>
      <c r="AN15" s="623" t="s">
        <v>166</v>
      </c>
      <c r="AO15" s="92" t="s">
        <v>89</v>
      </c>
      <c r="AP15" s="109">
        <f>AP16</f>
        <v>8</v>
      </c>
      <c r="AQ15" s="109">
        <f>AQ16</f>
        <v>539</v>
      </c>
      <c r="AR15" s="109">
        <f>AR16</f>
        <v>44</v>
      </c>
      <c r="AS15" s="254">
        <f>AS16</f>
        <v>1</v>
      </c>
      <c r="AT15" s="109">
        <f>AT16</f>
        <v>592</v>
      </c>
      <c r="AU15" s="26"/>
      <c r="AV15" s="574" t="s">
        <v>1164</v>
      </c>
      <c r="AW15" s="563"/>
      <c r="AX15" s="563"/>
      <c r="AY15" s="563"/>
      <c r="AZ15" s="563"/>
      <c r="BA15" s="563"/>
      <c r="BB15" s="563"/>
      <c r="BD15" s="566" t="s">
        <v>537</v>
      </c>
      <c r="BE15" s="566"/>
      <c r="BF15" s="566"/>
      <c r="BG15" s="566"/>
      <c r="BH15" s="566"/>
      <c r="BI15" s="566"/>
      <c r="BJ15" s="566"/>
      <c r="BP15" s="573"/>
      <c r="BQ15" s="573"/>
      <c r="CI15" s="40" t="s">
        <v>538</v>
      </c>
      <c r="CJ15" s="40" t="s">
        <v>539</v>
      </c>
      <c r="CK15" s="40" t="s">
        <v>504</v>
      </c>
      <c r="CL15" s="52"/>
      <c r="CM15" s="52" t="s">
        <v>499</v>
      </c>
      <c r="CN15" s="52" t="s">
        <v>499</v>
      </c>
      <c r="CO15" s="52"/>
      <c r="CP15" s="26"/>
      <c r="CQ15" s="7"/>
      <c r="CR15" s="7"/>
      <c r="CU15" s="7"/>
    </row>
    <row r="16" spans="1:108" ht="39.200000000000003" customHeight="1" x14ac:dyDescent="0.2">
      <c r="A16" s="623"/>
      <c r="B16" s="97" t="s">
        <v>11</v>
      </c>
      <c r="C16" s="240">
        <v>592</v>
      </c>
      <c r="D16" s="240">
        <v>18</v>
      </c>
      <c r="E16" s="240">
        <v>574</v>
      </c>
      <c r="F16" s="240">
        <v>696</v>
      </c>
      <c r="G16" s="240">
        <v>1270</v>
      </c>
      <c r="H16" s="249">
        <v>0.54803149606299195</v>
      </c>
      <c r="I16" s="198">
        <v>2.6574074074074101</v>
      </c>
      <c r="J16" s="198">
        <v>0.38705327039784199</v>
      </c>
      <c r="K16" s="11"/>
      <c r="L16" s="623" t="s">
        <v>166</v>
      </c>
      <c r="M16" s="92" t="s">
        <v>89</v>
      </c>
      <c r="N16" s="109">
        <f t="shared" ref="N16:U16" si="12">N17</f>
        <v>534</v>
      </c>
      <c r="O16" s="109">
        <f t="shared" si="12"/>
        <v>58</v>
      </c>
      <c r="P16" s="109">
        <f t="shared" si="12"/>
        <v>0</v>
      </c>
      <c r="Q16" s="109">
        <f t="shared" si="12"/>
        <v>592</v>
      </c>
      <c r="R16" s="109">
        <f t="shared" si="12"/>
        <v>0</v>
      </c>
      <c r="S16" s="109">
        <f t="shared" si="12"/>
        <v>0</v>
      </c>
      <c r="T16" s="109">
        <f t="shared" si="12"/>
        <v>18</v>
      </c>
      <c r="U16" s="109">
        <f t="shared" si="12"/>
        <v>18</v>
      </c>
      <c r="V16" s="55"/>
      <c r="W16" s="623"/>
      <c r="X16" s="505" t="s">
        <v>11</v>
      </c>
      <c r="Y16" s="53">
        <v>0</v>
      </c>
      <c r="Z16" s="53">
        <v>0</v>
      </c>
      <c r="AA16" s="53">
        <v>0</v>
      </c>
      <c r="AB16" s="53">
        <v>0</v>
      </c>
      <c r="AC16" s="53">
        <v>0</v>
      </c>
      <c r="AD16" s="55"/>
      <c r="AE16" s="623"/>
      <c r="AF16" s="118" t="s">
        <v>11</v>
      </c>
      <c r="AG16" s="53">
        <v>0</v>
      </c>
      <c r="AH16" s="53">
        <v>18</v>
      </c>
      <c r="AI16" s="53">
        <v>0</v>
      </c>
      <c r="AJ16" s="53">
        <v>0</v>
      </c>
      <c r="AK16" s="53">
        <v>0</v>
      </c>
      <c r="AL16" s="53">
        <v>18</v>
      </c>
      <c r="AM16" s="55"/>
      <c r="AN16" s="623"/>
      <c r="AO16" s="118" t="s">
        <v>11</v>
      </c>
      <c r="AP16" s="53">
        <v>8</v>
      </c>
      <c r="AQ16" s="53">
        <v>539</v>
      </c>
      <c r="AR16" s="53">
        <v>44</v>
      </c>
      <c r="AS16" s="148">
        <v>1</v>
      </c>
      <c r="AT16" s="53">
        <v>592</v>
      </c>
      <c r="AU16" s="26"/>
      <c r="AV16" s="564"/>
      <c r="AW16" s="564"/>
      <c r="AX16" s="564"/>
      <c r="AY16" s="564"/>
      <c r="AZ16" s="564"/>
      <c r="BA16" s="564"/>
      <c r="BB16" s="564"/>
      <c r="BD16" s="573"/>
      <c r="BE16" s="573"/>
      <c r="BF16" s="573"/>
      <c r="BG16" s="573"/>
      <c r="BH16" s="573"/>
      <c r="BI16" s="573"/>
      <c r="BJ16" s="573"/>
      <c r="BP16" s="573"/>
      <c r="BQ16" s="573"/>
      <c r="CI16" s="574" t="s">
        <v>1167</v>
      </c>
      <c r="CJ16" s="563"/>
      <c r="CK16" s="563"/>
      <c r="CL16" s="563"/>
      <c r="CM16" s="563"/>
      <c r="CN16" s="563"/>
      <c r="CO16" s="563"/>
      <c r="CQ16" s="7"/>
      <c r="CR16" s="7"/>
      <c r="CU16" s="7"/>
    </row>
    <row r="17" spans="1:99" ht="26.65" customHeight="1" x14ac:dyDescent="0.2">
      <c r="A17" s="623"/>
      <c r="B17" s="446" t="s">
        <v>94</v>
      </c>
      <c r="C17" s="237">
        <f t="shared" ref="C17:J17" si="13">C18</f>
        <v>40271.716</v>
      </c>
      <c r="D17" s="237">
        <f t="shared" si="13"/>
        <v>26631.655999999999</v>
      </c>
      <c r="E17" s="237">
        <f t="shared" si="13"/>
        <v>13640.06</v>
      </c>
      <c r="F17" s="237">
        <f t="shared" si="13"/>
        <v>14169.287</v>
      </c>
      <c r="G17" s="237">
        <f t="shared" si="13"/>
        <v>27809.347000000002</v>
      </c>
      <c r="H17" s="243">
        <f t="shared" si="13"/>
        <v>0.50951527196952895</v>
      </c>
      <c r="I17" s="244">
        <f t="shared" si="13"/>
        <v>29.587982646420802</v>
      </c>
      <c r="J17" s="244">
        <f t="shared" si="13"/>
        <v>1.02233997901364</v>
      </c>
      <c r="K17" s="11"/>
      <c r="L17" s="623"/>
      <c r="M17" s="118" t="s">
        <v>11</v>
      </c>
      <c r="N17" s="53">
        <v>534</v>
      </c>
      <c r="O17" s="53">
        <v>58</v>
      </c>
      <c r="P17" s="53">
        <v>0</v>
      </c>
      <c r="Q17" s="53">
        <v>592</v>
      </c>
      <c r="R17" s="53">
        <v>0</v>
      </c>
      <c r="S17" s="53">
        <v>0</v>
      </c>
      <c r="T17" s="53">
        <v>18</v>
      </c>
      <c r="U17" s="53">
        <v>18</v>
      </c>
      <c r="V17" s="55"/>
      <c r="W17" s="623"/>
      <c r="X17" s="236" t="s">
        <v>94</v>
      </c>
      <c r="Y17" s="109">
        <f>Y18</f>
        <v>26595.655999999999</v>
      </c>
      <c r="Z17" s="109">
        <f>Z18</f>
        <v>0</v>
      </c>
      <c r="AA17" s="109">
        <f>AA18</f>
        <v>0</v>
      </c>
      <c r="AB17" s="109">
        <f>AB18</f>
        <v>0</v>
      </c>
      <c r="AC17" s="109">
        <f>AC18</f>
        <v>26595.655999999999</v>
      </c>
      <c r="AD17" s="55"/>
      <c r="AE17" s="623"/>
      <c r="AF17" s="236" t="s">
        <v>94</v>
      </c>
      <c r="AG17" s="109">
        <f t="shared" ref="AG17:AL17" si="14">AG18</f>
        <v>0</v>
      </c>
      <c r="AH17" s="109">
        <f t="shared" si="14"/>
        <v>36</v>
      </c>
      <c r="AI17" s="109">
        <f t="shared" si="14"/>
        <v>0</v>
      </c>
      <c r="AJ17" s="109">
        <f t="shared" si="14"/>
        <v>0</v>
      </c>
      <c r="AK17" s="109">
        <f t="shared" si="14"/>
        <v>0</v>
      </c>
      <c r="AL17" s="109">
        <f t="shared" si="14"/>
        <v>36</v>
      </c>
      <c r="AM17" s="55"/>
      <c r="AN17" s="623"/>
      <c r="AO17" s="92" t="s">
        <v>94</v>
      </c>
      <c r="AP17" s="109">
        <f>AP18</f>
        <v>0</v>
      </c>
      <c r="AQ17" s="109">
        <f>AQ18</f>
        <v>5491.9629999999997</v>
      </c>
      <c r="AR17" s="109">
        <f>AR18</f>
        <v>34779.752999999997</v>
      </c>
      <c r="AS17" s="109">
        <f>AS18</f>
        <v>0</v>
      </c>
      <c r="AT17" s="109">
        <f>AT18</f>
        <v>40271.716</v>
      </c>
      <c r="AU17" s="26"/>
      <c r="BD17" s="7"/>
      <c r="BP17" s="573"/>
      <c r="BQ17" s="573"/>
      <c r="CI17" s="564"/>
      <c r="CJ17" s="564"/>
      <c r="CK17" s="564"/>
      <c r="CL17" s="564"/>
      <c r="CM17" s="564"/>
      <c r="CN17" s="564"/>
      <c r="CO17" s="564"/>
      <c r="CQ17" s="7"/>
      <c r="CR17" s="7"/>
      <c r="CU17" s="7"/>
    </row>
    <row r="18" spans="1:99" ht="26.65" customHeight="1" x14ac:dyDescent="0.2">
      <c r="A18" s="623"/>
      <c r="B18" s="97" t="s">
        <v>167</v>
      </c>
      <c r="C18" s="240">
        <v>40271.716</v>
      </c>
      <c r="D18" s="240">
        <v>26631.655999999999</v>
      </c>
      <c r="E18" s="240">
        <v>13640.06</v>
      </c>
      <c r="F18" s="240">
        <v>14169.287</v>
      </c>
      <c r="G18" s="240">
        <v>27809.347000000002</v>
      </c>
      <c r="H18" s="249">
        <v>0.50951527196952895</v>
      </c>
      <c r="I18" s="198">
        <v>29.587982646420802</v>
      </c>
      <c r="J18" s="198">
        <v>1.02233997901364</v>
      </c>
      <c r="K18" s="11"/>
      <c r="L18" s="623"/>
      <c r="M18" s="236" t="s">
        <v>94</v>
      </c>
      <c r="N18" s="109">
        <f t="shared" ref="N18:U18" si="15">N19</f>
        <v>2085.2049999999999</v>
      </c>
      <c r="O18" s="109">
        <f t="shared" si="15"/>
        <v>38186.510999999999</v>
      </c>
      <c r="P18" s="109">
        <f t="shared" si="15"/>
        <v>0</v>
      </c>
      <c r="Q18" s="109">
        <f t="shared" si="15"/>
        <v>40271.716</v>
      </c>
      <c r="R18" s="109">
        <f t="shared" si="15"/>
        <v>0</v>
      </c>
      <c r="S18" s="109">
        <f t="shared" si="15"/>
        <v>26631.655999999999</v>
      </c>
      <c r="T18" s="109">
        <f t="shared" si="15"/>
        <v>0</v>
      </c>
      <c r="U18" s="109">
        <f t="shared" si="15"/>
        <v>26631.655999999999</v>
      </c>
      <c r="V18" s="55"/>
      <c r="W18" s="623"/>
      <c r="X18" s="505" t="s">
        <v>167</v>
      </c>
      <c r="Y18" s="53">
        <v>26595.655999999999</v>
      </c>
      <c r="Z18" s="53">
        <v>0</v>
      </c>
      <c r="AA18" s="53">
        <v>0</v>
      </c>
      <c r="AB18" s="53">
        <v>0</v>
      </c>
      <c r="AC18" s="53">
        <v>26595.655999999999</v>
      </c>
      <c r="AD18" s="55"/>
      <c r="AE18" s="623"/>
      <c r="AF18" s="118" t="s">
        <v>167</v>
      </c>
      <c r="AG18" s="53">
        <v>0</v>
      </c>
      <c r="AH18" s="53">
        <v>36</v>
      </c>
      <c r="AI18" s="53">
        <v>0</v>
      </c>
      <c r="AJ18" s="53">
        <v>0</v>
      </c>
      <c r="AK18" s="53">
        <v>0</v>
      </c>
      <c r="AL18" s="53">
        <v>36</v>
      </c>
      <c r="AM18" s="55"/>
      <c r="AN18" s="623"/>
      <c r="AO18" s="118" t="s">
        <v>167</v>
      </c>
      <c r="AP18" s="53">
        <v>0</v>
      </c>
      <c r="AQ18" s="53">
        <v>5491.9629999999997</v>
      </c>
      <c r="AR18" s="53">
        <v>34779.752999999997</v>
      </c>
      <c r="AS18" s="53">
        <v>0</v>
      </c>
      <c r="AT18" s="53">
        <v>40271.716</v>
      </c>
      <c r="AU18" s="26"/>
      <c r="BD18" s="604"/>
      <c r="BP18" s="573"/>
      <c r="BQ18" s="573"/>
      <c r="CI18" s="564"/>
      <c r="CJ18" s="564"/>
      <c r="CK18" s="564"/>
      <c r="CL18" s="564"/>
      <c r="CM18" s="564"/>
      <c r="CN18" s="564"/>
      <c r="CO18" s="564"/>
    </row>
    <row r="19" spans="1:99" ht="33" customHeight="1" x14ac:dyDescent="0.2">
      <c r="A19" s="623"/>
      <c r="B19" s="446" t="s">
        <v>97</v>
      </c>
      <c r="C19" s="237">
        <f t="shared" ref="C19:J19" si="16">C20</f>
        <v>48938</v>
      </c>
      <c r="D19" s="237">
        <f t="shared" si="16"/>
        <v>36734</v>
      </c>
      <c r="E19" s="237">
        <f t="shared" si="16"/>
        <v>12204</v>
      </c>
      <c r="F19" s="237">
        <f t="shared" si="16"/>
        <v>47837.2</v>
      </c>
      <c r="G19" s="237">
        <f t="shared" si="16"/>
        <v>60041.2</v>
      </c>
      <c r="H19" s="243">
        <f t="shared" si="16"/>
        <v>0.79673957216044999</v>
      </c>
      <c r="I19" s="244">
        <f t="shared" si="16"/>
        <v>35.894117647058799</v>
      </c>
      <c r="J19" s="244">
        <f t="shared" si="16"/>
        <v>2.3307868601986299</v>
      </c>
      <c r="K19" s="11"/>
      <c r="L19" s="623"/>
      <c r="M19" s="118" t="s">
        <v>167</v>
      </c>
      <c r="N19" s="53">
        <v>2085.2049999999999</v>
      </c>
      <c r="O19" s="53">
        <v>38186.510999999999</v>
      </c>
      <c r="P19" s="53">
        <v>0</v>
      </c>
      <c r="Q19" s="53">
        <v>40271.716</v>
      </c>
      <c r="R19" s="53">
        <v>0</v>
      </c>
      <c r="S19" s="53">
        <v>26631.655999999999</v>
      </c>
      <c r="T19" s="53">
        <v>0</v>
      </c>
      <c r="U19" s="53">
        <v>26631.655999999999</v>
      </c>
      <c r="V19" s="55"/>
      <c r="W19" s="623"/>
      <c r="X19" s="236" t="s">
        <v>97</v>
      </c>
      <c r="Y19" s="109">
        <f>Y20</f>
        <v>0</v>
      </c>
      <c r="Z19" s="109">
        <f>Z20</f>
        <v>0</v>
      </c>
      <c r="AA19" s="109">
        <f>AA20</f>
        <v>31206</v>
      </c>
      <c r="AB19" s="109">
        <f>AB20</f>
        <v>0</v>
      </c>
      <c r="AC19" s="109">
        <f>AC20</f>
        <v>31206</v>
      </c>
      <c r="AD19" s="55"/>
      <c r="AE19" s="623"/>
      <c r="AF19" s="236" t="s">
        <v>97</v>
      </c>
      <c r="AG19" s="109">
        <f t="shared" ref="AG19:AL19" si="17">AG20</f>
        <v>0</v>
      </c>
      <c r="AH19" s="109">
        <f t="shared" si="17"/>
        <v>5528</v>
      </c>
      <c r="AI19" s="109">
        <f t="shared" si="17"/>
        <v>0</v>
      </c>
      <c r="AJ19" s="109">
        <f t="shared" si="17"/>
        <v>0</v>
      </c>
      <c r="AK19" s="109">
        <f t="shared" si="17"/>
        <v>0</v>
      </c>
      <c r="AL19" s="109">
        <f t="shared" si="17"/>
        <v>5528</v>
      </c>
      <c r="AM19" s="55"/>
      <c r="AN19" s="623"/>
      <c r="AO19" s="92" t="s">
        <v>97</v>
      </c>
      <c r="AP19" s="109">
        <f>AP20</f>
        <v>0</v>
      </c>
      <c r="AQ19" s="109">
        <f>AQ20</f>
        <v>20782</v>
      </c>
      <c r="AR19" s="109">
        <f>AR20</f>
        <v>28156</v>
      </c>
      <c r="AS19" s="109">
        <f>AS20</f>
        <v>0</v>
      </c>
      <c r="AT19" s="109">
        <f>AT20</f>
        <v>48938</v>
      </c>
      <c r="AU19" s="26"/>
      <c r="BD19" s="613"/>
      <c r="BP19" s="573"/>
      <c r="BQ19" s="573"/>
      <c r="CI19" s="564"/>
      <c r="CJ19" s="564"/>
      <c r="CK19" s="564"/>
      <c r="CL19" s="564"/>
      <c r="CM19" s="564"/>
      <c r="CN19" s="564"/>
      <c r="CO19" s="564"/>
    </row>
    <row r="20" spans="1:99" ht="21.6" customHeight="1" x14ac:dyDescent="0.2">
      <c r="A20" s="623"/>
      <c r="B20" s="97" t="s">
        <v>20</v>
      </c>
      <c r="C20" s="240">
        <v>48938</v>
      </c>
      <c r="D20" s="240">
        <v>36734</v>
      </c>
      <c r="E20" s="240">
        <v>12204</v>
      </c>
      <c r="F20" s="240">
        <v>47837.2</v>
      </c>
      <c r="G20" s="240">
        <v>60041.2</v>
      </c>
      <c r="H20" s="249">
        <v>0.79673957216044999</v>
      </c>
      <c r="I20" s="198">
        <v>35.894117647058799</v>
      </c>
      <c r="J20" s="198">
        <v>2.3307868601986299</v>
      </c>
      <c r="K20" s="11"/>
      <c r="L20" s="623"/>
      <c r="M20" s="236" t="s">
        <v>97</v>
      </c>
      <c r="N20" s="109">
        <f t="shared" ref="N20:U20" si="18">N21</f>
        <v>28156</v>
      </c>
      <c r="O20" s="109">
        <f t="shared" si="18"/>
        <v>1550</v>
      </c>
      <c r="P20" s="109">
        <f t="shared" si="18"/>
        <v>19232</v>
      </c>
      <c r="Q20" s="258">
        <f t="shared" si="18"/>
        <v>48938</v>
      </c>
      <c r="R20" s="109">
        <f t="shared" si="18"/>
        <v>14053</v>
      </c>
      <c r="S20" s="109">
        <f t="shared" si="18"/>
        <v>17153</v>
      </c>
      <c r="T20" s="109">
        <f t="shared" si="18"/>
        <v>5528</v>
      </c>
      <c r="U20" s="109">
        <f t="shared" si="18"/>
        <v>36734</v>
      </c>
      <c r="V20" s="55"/>
      <c r="W20" s="623"/>
      <c r="X20" s="97" t="s">
        <v>20</v>
      </c>
      <c r="Y20" s="53">
        <v>0</v>
      </c>
      <c r="Z20" s="53">
        <v>0</v>
      </c>
      <c r="AA20" s="53">
        <v>31206</v>
      </c>
      <c r="AB20" s="53">
        <v>0</v>
      </c>
      <c r="AC20" s="53">
        <v>31206</v>
      </c>
      <c r="AD20" s="55"/>
      <c r="AE20" s="623"/>
      <c r="AF20" s="118" t="s">
        <v>20</v>
      </c>
      <c r="AG20" s="53">
        <v>0</v>
      </c>
      <c r="AH20" s="53">
        <v>5528</v>
      </c>
      <c r="AI20" s="53">
        <v>0</v>
      </c>
      <c r="AJ20" s="53">
        <v>0</v>
      </c>
      <c r="AK20" s="53">
        <v>0</v>
      </c>
      <c r="AL20" s="53">
        <v>5528</v>
      </c>
      <c r="AM20" s="55"/>
      <c r="AN20" s="623"/>
      <c r="AO20" s="118" t="s">
        <v>20</v>
      </c>
      <c r="AP20" s="53">
        <v>0</v>
      </c>
      <c r="AQ20" s="53">
        <v>20782</v>
      </c>
      <c r="AR20" s="53">
        <v>28156</v>
      </c>
      <c r="AS20" s="53">
        <v>0</v>
      </c>
      <c r="AT20" s="53">
        <v>48938</v>
      </c>
      <c r="AU20" s="26"/>
      <c r="BP20" s="573"/>
      <c r="BQ20" s="573"/>
    </row>
    <row r="21" spans="1:99" ht="21.6" customHeight="1" x14ac:dyDescent="0.2">
      <c r="A21" s="625" t="s">
        <v>168</v>
      </c>
      <c r="B21" s="446" t="s">
        <v>76</v>
      </c>
      <c r="C21" s="237">
        <f>SUM(C22:C23)</f>
        <v>28494.038</v>
      </c>
      <c r="D21" s="237">
        <f>SUM(D22:D23)</f>
        <v>4133.0249999999996</v>
      </c>
      <c r="E21" s="237">
        <f>SUM(E22:E23)</f>
        <v>24361.012999999999</v>
      </c>
      <c r="F21" s="237">
        <f>SUM(F22:F23)</f>
        <v>59570.760999999999</v>
      </c>
      <c r="G21" s="237">
        <f>SUM(G22:G23)</f>
        <v>88035.798999999999</v>
      </c>
      <c r="H21" s="243">
        <f>F21/(E21+F21)</f>
        <v>0.70975219706424886</v>
      </c>
      <c r="I21" s="244">
        <f>E21/'2020 Normalizing Denominators'!E21</f>
        <v>18.84069064191802</v>
      </c>
      <c r="J21" s="244">
        <v>0.51147437485565495</v>
      </c>
      <c r="K21" s="11"/>
      <c r="L21" s="623"/>
      <c r="M21" s="118" t="s">
        <v>20</v>
      </c>
      <c r="N21" s="53">
        <v>28156</v>
      </c>
      <c r="O21" s="53">
        <v>1550</v>
      </c>
      <c r="P21" s="53">
        <v>19232</v>
      </c>
      <c r="Q21" s="259">
        <v>48938</v>
      </c>
      <c r="R21" s="53">
        <v>14053</v>
      </c>
      <c r="S21" s="53">
        <v>17153</v>
      </c>
      <c r="T21" s="53">
        <v>5528</v>
      </c>
      <c r="U21" s="53">
        <v>36734</v>
      </c>
      <c r="V21" s="55"/>
      <c r="W21" s="625" t="s">
        <v>168</v>
      </c>
      <c r="X21" s="236" t="s">
        <v>76</v>
      </c>
      <c r="Y21" s="109">
        <f>SUM(Y22:Y23)</f>
        <v>0</v>
      </c>
      <c r="Z21" s="109">
        <f>SUM(Z22:Z23)</f>
        <v>0</v>
      </c>
      <c r="AA21" s="109">
        <f>SUM(AA22:AA23)</f>
        <v>0</v>
      </c>
      <c r="AB21" s="109">
        <f>SUM(AB22:AB23)</f>
        <v>0</v>
      </c>
      <c r="AC21" s="109">
        <f>SUM(AC22:AC23)</f>
        <v>0</v>
      </c>
      <c r="AD21" s="55"/>
      <c r="AE21" s="625" t="s">
        <v>168</v>
      </c>
      <c r="AF21" s="236" t="s">
        <v>76</v>
      </c>
      <c r="AG21" s="109">
        <f t="shared" ref="AG21:AL21" si="19">SUM(AG22:AG23)</f>
        <v>0</v>
      </c>
      <c r="AH21" s="109">
        <f t="shared" si="19"/>
        <v>4133</v>
      </c>
      <c r="AI21" s="109">
        <f t="shared" si="19"/>
        <v>0</v>
      </c>
      <c r="AJ21" s="109">
        <f t="shared" si="19"/>
        <v>0</v>
      </c>
      <c r="AK21" s="109">
        <f t="shared" si="19"/>
        <v>0</v>
      </c>
      <c r="AL21" s="109">
        <f t="shared" si="19"/>
        <v>4133</v>
      </c>
      <c r="AM21" s="55"/>
      <c r="AN21" s="625" t="s">
        <v>168</v>
      </c>
      <c r="AO21" s="92" t="s">
        <v>76</v>
      </c>
      <c r="AP21" s="109">
        <f>SUM(AP22:AP23)</f>
        <v>10340.754999999999</v>
      </c>
      <c r="AQ21" s="109">
        <f>SUM(AQ22:AQ23)</f>
        <v>8289.1840000000011</v>
      </c>
      <c r="AR21" s="109">
        <f>SUM(AR22:AR23)</f>
        <v>9781.1280000000006</v>
      </c>
      <c r="AS21" s="109">
        <f>SUM(AS22:AS23)</f>
        <v>82.971000000000004</v>
      </c>
      <c r="AT21" s="109">
        <f>SUM(AT22:AT23)</f>
        <v>28494.038</v>
      </c>
      <c r="AU21" s="26"/>
      <c r="BP21" s="573"/>
      <c r="BQ21" s="573"/>
    </row>
    <row r="22" spans="1:99" ht="21.6" customHeight="1" x14ac:dyDescent="0.2">
      <c r="A22" s="626"/>
      <c r="B22" s="97" t="s">
        <v>169</v>
      </c>
      <c r="C22" s="240">
        <v>24808.038</v>
      </c>
      <c r="D22" s="240">
        <v>4104.0249999999996</v>
      </c>
      <c r="E22" s="240">
        <v>20704.012999999999</v>
      </c>
      <c r="F22" s="240">
        <v>47395.760999999999</v>
      </c>
      <c r="G22" s="240">
        <v>72203.798999999999</v>
      </c>
      <c r="H22" s="249">
        <v>0.656416444237235</v>
      </c>
      <c r="I22" s="198">
        <v>25.9448784461153</v>
      </c>
      <c r="J22" s="198">
        <v>0.46243216742607002</v>
      </c>
      <c r="K22" s="11"/>
      <c r="L22" s="623" t="s">
        <v>168</v>
      </c>
      <c r="M22" s="236" t="s">
        <v>76</v>
      </c>
      <c r="N22" s="109">
        <f t="shared" ref="N22:U22" si="20">SUM(N23:N24)</f>
        <v>8559.9680000000008</v>
      </c>
      <c r="O22" s="109">
        <f t="shared" si="20"/>
        <v>6372.9859999999999</v>
      </c>
      <c r="P22" s="109">
        <f t="shared" si="20"/>
        <v>13561.071</v>
      </c>
      <c r="Q22" s="109">
        <f t="shared" si="20"/>
        <v>28494.025000000001</v>
      </c>
      <c r="R22" s="109">
        <f t="shared" si="20"/>
        <v>0</v>
      </c>
      <c r="S22" s="109">
        <f t="shared" si="20"/>
        <v>0</v>
      </c>
      <c r="T22" s="109">
        <f t="shared" si="20"/>
        <v>4133.0249999999996</v>
      </c>
      <c r="U22" s="109">
        <f t="shared" si="20"/>
        <v>4133.0249999999996</v>
      </c>
      <c r="V22" s="55"/>
      <c r="W22" s="626"/>
      <c r="X22" s="118" t="s">
        <v>169</v>
      </c>
      <c r="Y22" s="53">
        <v>0</v>
      </c>
      <c r="Z22" s="53">
        <v>0</v>
      </c>
      <c r="AA22" s="53">
        <v>0</v>
      </c>
      <c r="AB22" s="53">
        <v>0</v>
      </c>
      <c r="AC22" s="53">
        <v>0</v>
      </c>
      <c r="AD22" s="55"/>
      <c r="AE22" s="626"/>
      <c r="AF22" s="118" t="s">
        <v>169</v>
      </c>
      <c r="AG22" s="53">
        <v>0</v>
      </c>
      <c r="AH22" s="53">
        <v>4104</v>
      </c>
      <c r="AI22" s="53">
        <v>0</v>
      </c>
      <c r="AJ22" s="53">
        <v>0</v>
      </c>
      <c r="AK22" s="53">
        <v>0</v>
      </c>
      <c r="AL22" s="53">
        <v>4104</v>
      </c>
      <c r="AM22" s="55"/>
      <c r="AN22" s="626"/>
      <c r="AO22" s="118" t="s">
        <v>169</v>
      </c>
      <c r="AP22" s="53">
        <v>10340.754999999999</v>
      </c>
      <c r="AQ22" s="53">
        <v>5138.1840000000002</v>
      </c>
      <c r="AR22" s="53">
        <v>9246.1280000000006</v>
      </c>
      <c r="AS22" s="53">
        <v>82.971000000000004</v>
      </c>
      <c r="AT22" s="53">
        <v>24808.038</v>
      </c>
      <c r="AU22" s="26"/>
    </row>
    <row r="23" spans="1:99" ht="21.6" customHeight="1" x14ac:dyDescent="0.2">
      <c r="A23" s="622"/>
      <c r="B23" s="97" t="s">
        <v>14</v>
      </c>
      <c r="C23" s="240">
        <v>3686</v>
      </c>
      <c r="D23" s="240">
        <v>29</v>
      </c>
      <c r="E23" s="240">
        <v>3657</v>
      </c>
      <c r="F23" s="240">
        <v>12175</v>
      </c>
      <c r="G23" s="240">
        <v>15832</v>
      </c>
      <c r="H23" s="249">
        <v>0.76901212733703905</v>
      </c>
      <c r="I23" s="198">
        <v>7.3878787878787904</v>
      </c>
      <c r="J23" s="198">
        <v>1.28001400070003</v>
      </c>
      <c r="K23" s="11"/>
      <c r="L23" s="623"/>
      <c r="M23" s="118" t="s">
        <v>169</v>
      </c>
      <c r="N23" s="53">
        <v>8403.9680000000008</v>
      </c>
      <c r="O23" s="53">
        <v>4404.9859999999999</v>
      </c>
      <c r="P23" s="53">
        <v>11999.071</v>
      </c>
      <c r="Q23" s="53">
        <v>24808.025000000001</v>
      </c>
      <c r="R23" s="53">
        <v>0</v>
      </c>
      <c r="S23" s="53">
        <v>0</v>
      </c>
      <c r="T23" s="53">
        <v>4104.0249999999996</v>
      </c>
      <c r="U23" s="53">
        <v>4104.0249999999996</v>
      </c>
      <c r="V23" s="55"/>
      <c r="W23" s="622"/>
      <c r="X23" s="118" t="s">
        <v>14</v>
      </c>
      <c r="Y23" s="53">
        <v>0</v>
      </c>
      <c r="Z23" s="53">
        <v>0</v>
      </c>
      <c r="AA23" s="53">
        <v>0</v>
      </c>
      <c r="AB23" s="53">
        <v>0</v>
      </c>
      <c r="AC23" s="53">
        <v>0</v>
      </c>
      <c r="AD23" s="55"/>
      <c r="AE23" s="622"/>
      <c r="AF23" s="118" t="s">
        <v>14</v>
      </c>
      <c r="AG23" s="53">
        <v>0</v>
      </c>
      <c r="AH23" s="53">
        <v>29</v>
      </c>
      <c r="AI23" s="53">
        <v>0</v>
      </c>
      <c r="AJ23" s="53">
        <v>0</v>
      </c>
      <c r="AK23" s="53">
        <v>0</v>
      </c>
      <c r="AL23" s="53">
        <v>29</v>
      </c>
      <c r="AM23" s="55"/>
      <c r="AN23" s="622"/>
      <c r="AO23" s="118" t="s">
        <v>14</v>
      </c>
      <c r="AP23" s="53">
        <v>0</v>
      </c>
      <c r="AQ23" s="53">
        <v>3151</v>
      </c>
      <c r="AR23" s="53">
        <v>535</v>
      </c>
      <c r="AS23" s="53">
        <v>0</v>
      </c>
      <c r="AT23" s="53">
        <v>3686</v>
      </c>
      <c r="AU23" s="26"/>
    </row>
    <row r="24" spans="1:99" ht="21.6" customHeight="1" x14ac:dyDescent="0.2">
      <c r="A24" s="42" t="s">
        <v>170</v>
      </c>
      <c r="B24" s="103" t="s">
        <v>50</v>
      </c>
      <c r="C24" s="237">
        <f>SUM(C4,C7,C9,C13,C15,C17,C19,C21)</f>
        <v>190371.3682</v>
      </c>
      <c r="D24" s="237">
        <f>SUM(D4,D7,D9,D13,D15,D17,D19,D21)</f>
        <v>88830.373999999996</v>
      </c>
      <c r="E24" s="237">
        <f>SUM(E4,E7,E9,E13,E15,E17,E19,E21)</f>
        <v>101540.99419999999</v>
      </c>
      <c r="F24" s="237">
        <f>SUM(F4,F7,F9,F13,F15,F17,F19,F21)</f>
        <v>257563.00800000003</v>
      </c>
      <c r="G24" s="237">
        <f>SUM(G4,G7,G9,G13,G15,G17,G19,G21)</f>
        <v>363208.02720000001</v>
      </c>
      <c r="H24" s="243">
        <f>F24/G24</f>
        <v>0.70913357831206003</v>
      </c>
      <c r="I24" s="244">
        <v>18.553077690480499</v>
      </c>
      <c r="J24" s="244">
        <v>0.73349750928240198</v>
      </c>
      <c r="K24" s="11"/>
      <c r="L24" s="623"/>
      <c r="M24" s="118" t="s">
        <v>14</v>
      </c>
      <c r="N24" s="53">
        <v>156</v>
      </c>
      <c r="O24" s="53">
        <v>1968</v>
      </c>
      <c r="P24" s="53">
        <v>1562</v>
      </c>
      <c r="Q24" s="53">
        <v>3686</v>
      </c>
      <c r="R24" s="53">
        <v>0</v>
      </c>
      <c r="S24" s="53">
        <v>0</v>
      </c>
      <c r="T24" s="53">
        <v>29</v>
      </c>
      <c r="U24" s="53">
        <v>29</v>
      </c>
      <c r="V24" s="55"/>
      <c r="W24" s="42" t="s">
        <v>170</v>
      </c>
      <c r="X24" s="103" t="s">
        <v>50</v>
      </c>
      <c r="Y24" s="109">
        <f>SUM(Y4,Y7,Y9,Y13,Y15,Y17,Y19,Y21)</f>
        <v>40494.748999999996</v>
      </c>
      <c r="Z24" s="109">
        <f>SUM(Z4,Z7,Z9,Z13,Z15,Z17,Z19,Z21)</f>
        <v>0</v>
      </c>
      <c r="AA24" s="109">
        <f>SUM(AA4,AA7,AA9,AA13,AA15,AA17,AA19,AA21)</f>
        <v>31206</v>
      </c>
      <c r="AB24" s="109">
        <f>SUM(AB4,AB7,AB9,AB13,AB15,AB17,AB19,AB21)</f>
        <v>0</v>
      </c>
      <c r="AC24" s="109">
        <f>SUM(AC4,AC7,AC9,AC13,AC15,AC17,AC19,AC21)</f>
        <v>71700.748999999996</v>
      </c>
      <c r="AD24" s="55"/>
      <c r="AE24" s="42" t="s">
        <v>170</v>
      </c>
      <c r="AF24" s="103" t="s">
        <v>50</v>
      </c>
      <c r="AG24" s="109">
        <f t="shared" ref="AG24:AL24" si="21">SUM(AG4,AG7,AG9,AG13,AG15,AG17,AG19,AG21)</f>
        <v>0</v>
      </c>
      <c r="AH24" s="109">
        <f t="shared" si="21"/>
        <v>11844.6</v>
      </c>
      <c r="AI24" s="109">
        <f t="shared" si="21"/>
        <v>0</v>
      </c>
      <c r="AJ24" s="109">
        <f t="shared" si="21"/>
        <v>5285</v>
      </c>
      <c r="AK24" s="109">
        <f t="shared" si="21"/>
        <v>0</v>
      </c>
      <c r="AL24" s="109">
        <f t="shared" si="21"/>
        <v>17129.599999999999</v>
      </c>
      <c r="AM24" s="55"/>
      <c r="AN24" s="42" t="s">
        <v>170</v>
      </c>
      <c r="AO24" s="103" t="s">
        <v>50</v>
      </c>
      <c r="AP24" s="109">
        <f>SUM(AP4,AP7,AP9,AP13,AP15,AP17,AP19,AP21)</f>
        <v>13230.254999999999</v>
      </c>
      <c r="AQ24" s="109">
        <f>SUM(AQ4,AQ7,AQ9,AQ13,AQ15,AQ17,AQ19,AQ21)</f>
        <v>75870.581000000006</v>
      </c>
      <c r="AR24" s="109">
        <f>SUM(AR4,AR7,AR9,AR13,AR15,AR17,AR19,AR21)</f>
        <v>99361.76999999999</v>
      </c>
      <c r="AS24" s="109">
        <f>SUM(AS4,AS7,AS9,AS13,AS15,AS17,AS19,AS21)</f>
        <v>1908.7622000000001</v>
      </c>
      <c r="AT24" s="260">
        <f>SUM(AT4,AT7,AT9,AT13,AT15,AT17,AT19,AT21)</f>
        <v>190371.3682</v>
      </c>
    </row>
    <row r="25" spans="1:99" ht="42.6" customHeight="1" x14ac:dyDescent="0.2">
      <c r="A25" s="572" t="s">
        <v>1242</v>
      </c>
      <c r="B25" s="566"/>
      <c r="C25" s="566"/>
      <c r="D25" s="566"/>
      <c r="E25" s="566"/>
      <c r="F25" s="566"/>
      <c r="G25" s="566"/>
      <c r="H25" s="566"/>
      <c r="I25" s="566"/>
      <c r="J25" s="566"/>
      <c r="K25" s="16"/>
      <c r="L25" s="42" t="s">
        <v>170</v>
      </c>
      <c r="M25" s="103" t="s">
        <v>50</v>
      </c>
      <c r="N25" s="109">
        <f t="shared" ref="N25:U25" si="22">SUM(N5,N8,N10,N14,N16,N18,N20,N22)</f>
        <v>70218.725999999995</v>
      </c>
      <c r="O25" s="109">
        <f t="shared" si="22"/>
        <v>48440.496999999996</v>
      </c>
      <c r="P25" s="109">
        <f t="shared" si="22"/>
        <v>71711.705000000002</v>
      </c>
      <c r="Q25" s="109">
        <f t="shared" si="22"/>
        <v>190370.92799999999</v>
      </c>
      <c r="R25" s="109">
        <f t="shared" si="22"/>
        <v>17820.893</v>
      </c>
      <c r="S25" s="109">
        <f t="shared" si="22"/>
        <v>50292.455999999998</v>
      </c>
      <c r="T25" s="109">
        <f t="shared" si="22"/>
        <v>20717.125</v>
      </c>
      <c r="U25" s="109">
        <f t="shared" si="22"/>
        <v>88830.473999999987</v>
      </c>
      <c r="V25" s="26"/>
      <c r="W25" s="574" t="s">
        <v>1249</v>
      </c>
      <c r="X25" s="563"/>
      <c r="Y25" s="563"/>
      <c r="Z25" s="563"/>
      <c r="AA25" s="563"/>
      <c r="AB25" s="563"/>
      <c r="AC25" s="563"/>
      <c r="AE25" s="574" t="s">
        <v>1253</v>
      </c>
      <c r="AF25" s="563"/>
      <c r="AG25" s="563"/>
      <c r="AH25" s="563"/>
      <c r="AI25" s="563"/>
      <c r="AJ25" s="563"/>
      <c r="AK25" s="563"/>
      <c r="AL25" s="563"/>
      <c r="AN25" s="574" t="s">
        <v>1254</v>
      </c>
      <c r="AO25" s="563"/>
      <c r="AP25" s="563"/>
      <c r="AQ25" s="563"/>
      <c r="AR25" s="563"/>
      <c r="AS25" s="563"/>
      <c r="AT25" s="563"/>
    </row>
    <row r="26" spans="1:99" ht="42.6" customHeight="1" x14ac:dyDescent="0.2">
      <c r="A26" s="573"/>
      <c r="B26" s="573"/>
      <c r="C26" s="573"/>
      <c r="D26" s="573"/>
      <c r="E26" s="573"/>
      <c r="F26" s="573"/>
      <c r="G26" s="573"/>
      <c r="H26" s="573"/>
      <c r="I26" s="573"/>
      <c r="J26" s="573"/>
      <c r="K26" s="23"/>
      <c r="L26" s="574" t="s">
        <v>1247</v>
      </c>
      <c r="M26" s="563"/>
      <c r="N26" s="563"/>
      <c r="O26" s="563"/>
      <c r="P26" s="563"/>
      <c r="Q26" s="563"/>
      <c r="R26" s="563"/>
      <c r="S26" s="563"/>
      <c r="T26" s="563"/>
      <c r="U26" s="563"/>
      <c r="W26" s="564"/>
      <c r="X26" s="564"/>
      <c r="Y26" s="564"/>
      <c r="Z26" s="564"/>
      <c r="AA26" s="564"/>
      <c r="AB26" s="564"/>
      <c r="AC26" s="564"/>
      <c r="AN26" s="564"/>
      <c r="AO26" s="564"/>
      <c r="AP26" s="564"/>
      <c r="AQ26" s="564"/>
      <c r="AR26" s="564"/>
      <c r="AS26" s="564"/>
      <c r="AT26" s="564"/>
    </row>
    <row r="27" spans="1:99" ht="56.65" customHeight="1" x14ac:dyDescent="0.2">
      <c r="A27" s="47"/>
      <c r="B27" s="47"/>
      <c r="C27" s="47"/>
      <c r="D27" s="47"/>
      <c r="E27" s="47"/>
      <c r="F27" s="47"/>
      <c r="G27" s="47"/>
      <c r="H27" s="47"/>
      <c r="I27" s="47"/>
      <c r="J27" s="47"/>
      <c r="K27" s="23"/>
      <c r="L27" s="564"/>
      <c r="M27" s="564"/>
      <c r="N27" s="564"/>
      <c r="O27" s="564"/>
      <c r="P27" s="564"/>
      <c r="Q27" s="564"/>
      <c r="R27" s="564"/>
      <c r="S27" s="564"/>
      <c r="T27" s="564"/>
      <c r="U27" s="564"/>
      <c r="W27" s="564"/>
      <c r="X27" s="564"/>
      <c r="Y27" s="564"/>
      <c r="Z27" s="564"/>
      <c r="AA27" s="564"/>
      <c r="AB27" s="564"/>
      <c r="AC27" s="564"/>
      <c r="AN27" s="30"/>
      <c r="AO27" s="30"/>
      <c r="AP27" s="30"/>
      <c r="AQ27" s="30"/>
      <c r="AR27" s="30"/>
      <c r="AS27" s="30"/>
      <c r="AT27" s="30"/>
    </row>
    <row r="28" spans="1:99" ht="56.65" customHeight="1" x14ac:dyDescent="0.2">
      <c r="C28" s="7"/>
      <c r="D28" s="7"/>
      <c r="E28" s="7"/>
      <c r="F28" s="7"/>
      <c r="G28" s="7"/>
      <c r="H28" s="7"/>
      <c r="I28" s="7"/>
      <c r="J28" s="7"/>
      <c r="K28" s="23"/>
      <c r="AE28" s="7"/>
    </row>
    <row r="29" spans="1:99" ht="56.65" customHeight="1" x14ac:dyDescent="0.2">
      <c r="A29" s="7"/>
      <c r="B29" s="7"/>
      <c r="C29" s="7"/>
      <c r="D29" s="7"/>
      <c r="E29" s="7"/>
      <c r="F29" s="7"/>
      <c r="G29" s="7"/>
      <c r="H29" s="7"/>
      <c r="I29" s="7"/>
      <c r="J29" s="7"/>
      <c r="K29" s="23"/>
    </row>
    <row r="30" spans="1:99" ht="24.95" customHeight="1" x14ac:dyDescent="0.2">
      <c r="B30" s="7"/>
      <c r="C30" s="7"/>
      <c r="D30" s="7"/>
      <c r="E30" s="7"/>
      <c r="F30" s="7"/>
      <c r="G30" s="7"/>
      <c r="H30" s="7"/>
      <c r="I30" s="7"/>
      <c r="J30" s="7"/>
      <c r="K30" s="23"/>
    </row>
    <row r="31" spans="1:99" ht="43.35" customHeight="1" x14ac:dyDescent="0.2">
      <c r="B31" s="7"/>
      <c r="C31" s="7"/>
      <c r="D31" s="7"/>
      <c r="E31" s="7"/>
      <c r="F31" s="7"/>
      <c r="G31" s="7"/>
      <c r="H31" s="7"/>
      <c r="I31" s="7"/>
      <c r="J31" s="7"/>
      <c r="K31" s="23"/>
    </row>
    <row r="32" spans="1:99" ht="21.6" customHeight="1" x14ac:dyDescent="0.2">
      <c r="A32" s="7"/>
      <c r="B32" s="7"/>
      <c r="C32" s="7"/>
      <c r="D32" s="7"/>
      <c r="E32" s="7"/>
      <c r="F32" s="7"/>
      <c r="G32" s="7"/>
      <c r="H32" s="7"/>
      <c r="I32" s="7"/>
      <c r="J32" s="7"/>
      <c r="K32" s="23"/>
    </row>
    <row r="33" spans="1:11" ht="21.6" customHeight="1" x14ac:dyDescent="0.2">
      <c r="B33" s="7"/>
      <c r="C33" s="7"/>
      <c r="D33" s="7"/>
      <c r="E33" s="7"/>
      <c r="F33" s="7"/>
      <c r="G33" s="7"/>
      <c r="H33" s="7"/>
      <c r="I33" s="7"/>
      <c r="J33" s="7"/>
      <c r="K33" s="23"/>
    </row>
    <row r="34" spans="1:11" ht="21.6" customHeight="1" x14ac:dyDescent="0.2">
      <c r="B34" s="7"/>
      <c r="C34" s="7"/>
      <c r="D34" s="7"/>
      <c r="E34" s="7"/>
      <c r="F34" s="7"/>
      <c r="G34" s="7"/>
      <c r="H34" s="7"/>
      <c r="I34" s="7"/>
      <c r="J34" s="7"/>
      <c r="K34" s="23"/>
    </row>
    <row r="35" spans="1:11" ht="21.6" customHeight="1" x14ac:dyDescent="0.2">
      <c r="B35" s="7"/>
      <c r="C35" s="7"/>
      <c r="D35" s="7"/>
      <c r="E35" s="7"/>
      <c r="F35" s="7"/>
      <c r="G35" s="7"/>
      <c r="H35" s="7"/>
      <c r="I35" s="7"/>
      <c r="J35" s="7"/>
      <c r="K35" s="23"/>
    </row>
    <row r="36" spans="1:11" ht="21.6" customHeight="1" x14ac:dyDescent="0.2">
      <c r="B36" s="7"/>
      <c r="C36" s="7"/>
      <c r="D36" s="7"/>
      <c r="E36" s="7"/>
      <c r="F36" s="7"/>
      <c r="G36" s="7"/>
      <c r="H36" s="7"/>
      <c r="I36" s="7"/>
      <c r="J36" s="7"/>
      <c r="K36" s="23"/>
    </row>
    <row r="37" spans="1:11" ht="21.6" customHeight="1" x14ac:dyDescent="0.2">
      <c r="B37" s="7"/>
      <c r="C37" s="7"/>
      <c r="D37" s="7"/>
      <c r="E37" s="7"/>
      <c r="F37" s="7"/>
      <c r="G37" s="7"/>
      <c r="H37" s="7"/>
      <c r="I37" s="7"/>
      <c r="J37" s="7"/>
      <c r="K37" s="23"/>
    </row>
    <row r="38" spans="1:11" ht="21.6" customHeight="1" x14ac:dyDescent="0.2">
      <c r="B38" s="7"/>
      <c r="C38" s="7"/>
      <c r="D38" s="7"/>
      <c r="E38" s="7"/>
      <c r="F38" s="7"/>
      <c r="G38" s="7"/>
      <c r="H38" s="7"/>
      <c r="I38" s="7"/>
      <c r="J38" s="7"/>
      <c r="K38" s="23"/>
    </row>
    <row r="39" spans="1:11" ht="21.6" customHeight="1" x14ac:dyDescent="0.2">
      <c r="B39" s="7"/>
      <c r="C39" s="7"/>
      <c r="D39" s="7"/>
      <c r="E39" s="7"/>
      <c r="F39" s="7"/>
      <c r="G39" s="7"/>
      <c r="H39" s="7"/>
      <c r="I39" s="7"/>
      <c r="J39" s="7"/>
      <c r="K39" s="23"/>
    </row>
    <row r="40" spans="1:11" ht="21.6" customHeight="1" x14ac:dyDescent="0.2">
      <c r="B40" s="7"/>
      <c r="C40" s="7"/>
      <c r="D40" s="7"/>
      <c r="E40" s="7"/>
      <c r="F40" s="7"/>
      <c r="G40" s="7"/>
      <c r="H40" s="7"/>
      <c r="I40" s="7"/>
      <c r="J40" s="7"/>
      <c r="K40" s="23"/>
    </row>
    <row r="41" spans="1:11" ht="21.6" customHeight="1" x14ac:dyDescent="0.2">
      <c r="A41" s="7"/>
      <c r="B41" s="7"/>
      <c r="C41" s="7"/>
      <c r="D41" s="7"/>
      <c r="E41" s="7"/>
      <c r="F41" s="7"/>
      <c r="G41" s="7"/>
      <c r="H41" s="7"/>
      <c r="I41" s="7"/>
      <c r="J41" s="7"/>
      <c r="K41" s="23"/>
    </row>
    <row r="42" spans="1:11" ht="21.6" customHeight="1" x14ac:dyDescent="0.2">
      <c r="B42" s="7"/>
      <c r="C42" s="7"/>
      <c r="D42" s="7"/>
      <c r="E42" s="7"/>
      <c r="F42" s="7"/>
      <c r="G42" s="7"/>
      <c r="H42" s="7"/>
      <c r="I42" s="7"/>
      <c r="J42" s="7"/>
      <c r="K42" s="23"/>
    </row>
    <row r="43" spans="1:11" ht="21.6" customHeight="1" x14ac:dyDescent="0.2">
      <c r="B43" s="7"/>
      <c r="C43" s="7"/>
      <c r="D43" s="7"/>
      <c r="E43" s="7"/>
      <c r="F43" s="7"/>
      <c r="G43" s="7"/>
      <c r="H43" s="7"/>
      <c r="I43" s="7"/>
      <c r="J43" s="7"/>
      <c r="K43" s="23"/>
    </row>
    <row r="44" spans="1:11" ht="21.6" customHeight="1" x14ac:dyDescent="0.2">
      <c r="B44" s="7"/>
      <c r="C44" s="7"/>
      <c r="D44" s="7"/>
      <c r="E44" s="7"/>
      <c r="F44" s="7"/>
      <c r="G44" s="7"/>
      <c r="H44" s="7"/>
      <c r="I44" s="7"/>
      <c r="J44" s="7"/>
      <c r="K44" s="23"/>
    </row>
    <row r="45" spans="1:11" ht="21.6" customHeight="1" x14ac:dyDescent="0.2">
      <c r="B45" s="7"/>
      <c r="C45" s="7"/>
      <c r="D45" s="7"/>
      <c r="E45" s="7"/>
      <c r="F45" s="7"/>
      <c r="G45" s="7"/>
      <c r="H45" s="7"/>
      <c r="I45" s="7"/>
      <c r="J45" s="7"/>
      <c r="K45" s="23"/>
    </row>
    <row r="46" spans="1:11" ht="21.6" customHeight="1" x14ac:dyDescent="0.2">
      <c r="B46" s="7"/>
      <c r="C46" s="7"/>
      <c r="D46" s="7"/>
      <c r="E46" s="7"/>
      <c r="F46" s="7"/>
      <c r="G46" s="7"/>
      <c r="H46" s="7"/>
      <c r="I46" s="7"/>
      <c r="J46" s="7"/>
      <c r="K46" s="23"/>
    </row>
    <row r="47" spans="1:11" ht="21.6" customHeight="1" x14ac:dyDescent="0.2">
      <c r="A47" s="7"/>
      <c r="B47" s="7"/>
      <c r="C47" s="7"/>
      <c r="D47" s="7"/>
      <c r="E47" s="7"/>
      <c r="F47" s="7"/>
      <c r="G47" s="7"/>
      <c r="H47" s="7"/>
      <c r="I47" s="7"/>
      <c r="J47" s="7"/>
      <c r="K47" s="23"/>
    </row>
    <row r="48" spans="1:11" ht="21.6" customHeight="1" x14ac:dyDescent="0.2">
      <c r="B48" s="7"/>
      <c r="C48" s="7"/>
      <c r="D48" s="7"/>
      <c r="E48" s="7"/>
      <c r="F48" s="7"/>
      <c r="G48" s="7"/>
      <c r="H48" s="7"/>
      <c r="I48" s="7"/>
      <c r="J48" s="7"/>
      <c r="K48" s="23"/>
    </row>
    <row r="49" spans="1:11" ht="21.6" customHeight="1" x14ac:dyDescent="0.2">
      <c r="B49" s="7"/>
      <c r="C49" s="7"/>
      <c r="D49" s="7"/>
      <c r="E49" s="7"/>
      <c r="F49" s="7"/>
      <c r="G49" s="7"/>
      <c r="H49" s="7"/>
      <c r="I49" s="7"/>
      <c r="J49" s="7"/>
      <c r="K49" s="23"/>
    </row>
    <row r="50" spans="1:11" ht="21.6" customHeight="1" x14ac:dyDescent="0.2">
      <c r="B50" s="7"/>
      <c r="C50" s="7"/>
      <c r="D50" s="7"/>
      <c r="E50" s="7"/>
      <c r="F50" s="7"/>
      <c r="G50" s="7"/>
      <c r="H50" s="7"/>
      <c r="I50" s="7"/>
      <c r="J50" s="7"/>
      <c r="K50" s="23"/>
    </row>
    <row r="51" spans="1:11" ht="21.6" customHeight="1" x14ac:dyDescent="0.2">
      <c r="A51" s="7"/>
      <c r="B51" s="7"/>
      <c r="C51" s="7"/>
      <c r="D51" s="7"/>
      <c r="E51" s="7"/>
      <c r="F51" s="7"/>
      <c r="G51" s="7"/>
      <c r="H51" s="7"/>
      <c r="I51" s="7"/>
      <c r="J51" s="7"/>
      <c r="K51" s="23"/>
    </row>
    <row r="52" spans="1:11" ht="21.6" customHeight="1" x14ac:dyDescent="0.2">
      <c r="K52" s="23"/>
    </row>
    <row r="53" spans="1:11" ht="21.6" customHeight="1" x14ac:dyDescent="0.2">
      <c r="K53" s="23"/>
    </row>
    <row r="54" spans="1:11" ht="21.6" customHeight="1" x14ac:dyDescent="0.2">
      <c r="K54" s="23"/>
    </row>
    <row r="55" spans="1:11" ht="15" customHeight="1" x14ac:dyDescent="0.2"/>
    <row r="56" spans="1:11" ht="15" customHeight="1" x14ac:dyDescent="0.2"/>
    <row r="57" spans="1:11" ht="15" customHeight="1" x14ac:dyDescent="0.2"/>
    <row r="58" spans="1:11" ht="15" customHeight="1" x14ac:dyDescent="0.2"/>
  </sheetData>
  <sheetProtection algorithmName="SHA-512" hashValue="/pf93CPhmrTYLpQeaFAsDPcNdOzT0yPcp+3HV2/u+tiNxq9IBWIJPySlBaMVFiuK85Ab5xMPinbqkjxCiDD/GQ==" saltValue="pLUhch8k6ssVQXt4j5r2hg==" spinCount="100000" sheet="1" objects="1" scenarios="1"/>
  <mergeCells count="42">
    <mergeCell ref="CQ3:CQ4"/>
    <mergeCell ref="CT3:CU4"/>
    <mergeCell ref="CR3:CS4"/>
    <mergeCell ref="CQ9:CU10"/>
    <mergeCell ref="CI16:CO19"/>
    <mergeCell ref="BS7:BY10"/>
    <mergeCell ref="CA7:CG10"/>
    <mergeCell ref="BD15:BJ16"/>
    <mergeCell ref="AV15:BB16"/>
    <mergeCell ref="BD18:BD19"/>
    <mergeCell ref="AN25:AT26"/>
    <mergeCell ref="AN15:AN20"/>
    <mergeCell ref="AN21:AN23"/>
    <mergeCell ref="AE25:AL25"/>
    <mergeCell ref="BP14:BQ21"/>
    <mergeCell ref="AN7:AN14"/>
    <mergeCell ref="BL7:BN9"/>
    <mergeCell ref="W4:W6"/>
    <mergeCell ref="R3:U3"/>
    <mergeCell ref="AE4:AE6"/>
    <mergeCell ref="W15:W20"/>
    <mergeCell ref="AN4:AN6"/>
    <mergeCell ref="AE7:AE14"/>
    <mergeCell ref="W21:W23"/>
    <mergeCell ref="W25:AC27"/>
    <mergeCell ref="AE21:AE23"/>
    <mergeCell ref="AE15:AE20"/>
    <mergeCell ref="L8:L15"/>
    <mergeCell ref="W7:W14"/>
    <mergeCell ref="A15:A20"/>
    <mergeCell ref="A21:A23"/>
    <mergeCell ref="A25:J26"/>
    <mergeCell ref="L26:U27"/>
    <mergeCell ref="L22:L24"/>
    <mergeCell ref="L16:L21"/>
    <mergeCell ref="A1:E1"/>
    <mergeCell ref="A4:A6"/>
    <mergeCell ref="L3:L4"/>
    <mergeCell ref="N3:Q3"/>
    <mergeCell ref="M3:M4"/>
    <mergeCell ref="L5:L7"/>
    <mergeCell ref="A7:A14"/>
  </mergeCells>
  <pageMargins left="0.75" right="0.75" top="1" bottom="1" header="0.5" footer="0.5"/>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Y53"/>
  <sheetViews>
    <sheetView showGridLines="0" showRuler="0" workbookViewId="0">
      <selection activeCell="G12" sqref="G12"/>
    </sheetView>
  </sheetViews>
  <sheetFormatPr defaultColWidth="13.140625" defaultRowHeight="12.75" x14ac:dyDescent="0.2"/>
  <cols>
    <col min="1" max="1" width="21.7109375" customWidth="1"/>
    <col min="2" max="2" width="21.28515625" customWidth="1"/>
    <col min="3" max="6" width="16.85546875" customWidth="1"/>
    <col min="7" max="7" width="7.140625" customWidth="1"/>
    <col min="8" max="8" width="31.42578125" customWidth="1"/>
    <col min="9" max="9" width="22.5703125" customWidth="1"/>
    <col min="10" max="11" width="19.85546875" customWidth="1"/>
    <col min="12" max="12" width="8.140625" customWidth="1"/>
    <col min="13" max="13" width="23.5703125" customWidth="1"/>
    <col min="14" max="14" width="19.5703125" customWidth="1"/>
    <col min="15" max="21" width="12.85546875" customWidth="1"/>
    <col min="22" max="23" width="21.140625" customWidth="1"/>
    <col min="24" max="31" width="12.85546875" customWidth="1"/>
    <col min="32" max="32" width="24.28515625" customWidth="1"/>
    <col min="33" max="33" width="23.28515625" customWidth="1"/>
    <col min="34" max="39" width="16.140625" customWidth="1"/>
    <col min="40" max="41" width="12.85546875" customWidth="1"/>
    <col min="42" max="42" width="22" customWidth="1"/>
    <col min="43" max="43" width="20.140625" customWidth="1"/>
    <col min="44" max="53" width="11.42578125" customWidth="1"/>
    <col min="54" max="55" width="12.85546875" customWidth="1"/>
    <col min="56" max="56" width="23" customWidth="1"/>
    <col min="57" max="57" width="17.42578125" customWidth="1"/>
    <col min="58" max="67" width="17.85546875" customWidth="1"/>
    <col min="68" max="69" width="12.85546875" customWidth="1"/>
    <col min="70" max="70" width="54.42578125" customWidth="1"/>
    <col min="71" max="71" width="16.7109375" hidden="1" customWidth="1"/>
    <col min="72" max="76" width="16.7109375" customWidth="1"/>
    <col min="77" max="104" width="12.85546875" customWidth="1"/>
  </cols>
  <sheetData>
    <row r="1" spans="1:77" ht="17.45" customHeight="1" x14ac:dyDescent="0.25">
      <c r="A1" s="624" t="s">
        <v>540</v>
      </c>
      <c r="B1" s="624"/>
      <c r="C1" s="624"/>
      <c r="D1" s="624"/>
      <c r="E1" s="624"/>
      <c r="F1" s="624"/>
      <c r="G1" s="23"/>
      <c r="H1" s="23"/>
      <c r="I1" s="23"/>
      <c r="J1" s="23"/>
      <c r="K1" s="23"/>
      <c r="L1" s="23"/>
      <c r="M1" s="23"/>
      <c r="N1" s="23"/>
      <c r="O1" s="23"/>
      <c r="P1" s="23"/>
      <c r="Q1" s="23"/>
      <c r="R1" s="23"/>
      <c r="S1" s="23"/>
    </row>
    <row r="2" spans="1:77" x14ac:dyDescent="0.2">
      <c r="A2" s="180"/>
      <c r="B2" s="23"/>
      <c r="C2" s="23"/>
      <c r="D2" s="23"/>
      <c r="E2" s="23"/>
      <c r="F2" s="23"/>
      <c r="G2" s="23"/>
      <c r="H2" s="23"/>
      <c r="I2" s="23"/>
      <c r="J2" s="23"/>
      <c r="K2" s="23"/>
      <c r="L2" s="23"/>
      <c r="M2" s="23"/>
      <c r="N2" s="23"/>
      <c r="O2" s="23"/>
      <c r="P2" s="23"/>
      <c r="Q2" s="23"/>
      <c r="R2" s="23"/>
      <c r="S2" s="23"/>
      <c r="X2" s="268"/>
      <c r="Y2" s="268"/>
      <c r="Z2" s="268"/>
      <c r="AA2" s="268"/>
      <c r="AB2" s="268"/>
      <c r="AC2" s="268"/>
      <c r="AD2" s="268"/>
      <c r="AE2" s="269"/>
      <c r="AF2" s="269"/>
    </row>
    <row r="3" spans="1:77" x14ac:dyDescent="0.2">
      <c r="A3" s="24"/>
      <c r="B3" s="24"/>
      <c r="C3" s="24"/>
      <c r="D3" s="24"/>
      <c r="E3" s="24"/>
      <c r="F3" s="24"/>
      <c r="G3" s="23"/>
      <c r="M3" s="24"/>
      <c r="N3" s="24"/>
      <c r="O3" s="24"/>
      <c r="P3" s="24"/>
      <c r="Q3" s="24"/>
      <c r="R3" s="24"/>
      <c r="S3" s="24"/>
      <c r="V3" s="86"/>
      <c r="W3" s="87"/>
      <c r="X3" s="578" t="s">
        <v>541</v>
      </c>
      <c r="Y3" s="580"/>
      <c r="Z3" s="578" t="s">
        <v>542</v>
      </c>
      <c r="AA3" s="580"/>
      <c r="AB3" s="664" t="s">
        <v>543</v>
      </c>
      <c r="AC3" s="664"/>
      <c r="AD3" s="261" t="s">
        <v>90</v>
      </c>
      <c r="AE3" s="26"/>
      <c r="AF3" s="86"/>
      <c r="AG3" s="87"/>
      <c r="AH3" s="578" t="s">
        <v>541</v>
      </c>
      <c r="AI3" s="580"/>
      <c r="AJ3" s="578" t="s">
        <v>542</v>
      </c>
      <c r="AK3" s="580"/>
      <c r="AL3" s="664" t="s">
        <v>543</v>
      </c>
      <c r="AM3" s="664"/>
      <c r="AN3" s="261" t="s">
        <v>90</v>
      </c>
      <c r="AO3" s="26"/>
      <c r="AP3" s="86"/>
      <c r="AQ3" s="87"/>
      <c r="AR3" s="578" t="s">
        <v>544</v>
      </c>
      <c r="AS3" s="580"/>
      <c r="AT3" s="578" t="s">
        <v>545</v>
      </c>
      <c r="AU3" s="580"/>
      <c r="AV3" s="578" t="s">
        <v>546</v>
      </c>
      <c r="AW3" s="580"/>
      <c r="AX3" s="578" t="s">
        <v>547</v>
      </c>
      <c r="AY3" s="580"/>
      <c r="AZ3" s="578" t="s">
        <v>548</v>
      </c>
      <c r="BA3" s="580"/>
      <c r="BB3" s="261" t="s">
        <v>90</v>
      </c>
      <c r="BC3" s="26"/>
      <c r="BD3" s="86"/>
      <c r="BE3" s="87"/>
      <c r="BF3" s="578" t="s">
        <v>544</v>
      </c>
      <c r="BG3" s="580"/>
      <c r="BH3" s="578" t="s">
        <v>545</v>
      </c>
      <c r="BI3" s="580"/>
      <c r="BJ3" s="578" t="s">
        <v>546</v>
      </c>
      <c r="BK3" s="580"/>
      <c r="BL3" s="578" t="s">
        <v>547</v>
      </c>
      <c r="BM3" s="580"/>
      <c r="BN3" s="578" t="s">
        <v>548</v>
      </c>
      <c r="BO3" s="580"/>
      <c r="BP3" s="261" t="s">
        <v>90</v>
      </c>
      <c r="BQ3" s="26"/>
    </row>
    <row r="4" spans="1:77" ht="65.849999999999994" customHeight="1" x14ac:dyDescent="0.2">
      <c r="A4" s="458" t="s">
        <v>1172</v>
      </c>
      <c r="B4" s="4" t="s">
        <v>142</v>
      </c>
      <c r="C4" s="4" t="s">
        <v>549</v>
      </c>
      <c r="D4" s="4" t="s">
        <v>550</v>
      </c>
      <c r="E4" s="4" t="s">
        <v>551</v>
      </c>
      <c r="F4" s="4" t="s">
        <v>450</v>
      </c>
      <c r="G4" s="11"/>
      <c r="H4" s="425" t="s">
        <v>1173</v>
      </c>
      <c r="I4" s="4" t="s">
        <v>142</v>
      </c>
      <c r="J4" s="4" t="s">
        <v>552</v>
      </c>
      <c r="K4" s="4" t="s">
        <v>553</v>
      </c>
      <c r="L4" s="55"/>
      <c r="M4" s="458" t="s">
        <v>1174</v>
      </c>
      <c r="N4" s="4" t="s">
        <v>142</v>
      </c>
      <c r="O4" s="4" t="s">
        <v>554</v>
      </c>
      <c r="P4" s="4" t="s">
        <v>555</v>
      </c>
      <c r="Q4" s="4" t="s">
        <v>556</v>
      </c>
      <c r="R4" s="4" t="s">
        <v>557</v>
      </c>
      <c r="S4" s="4" t="s">
        <v>558</v>
      </c>
      <c r="T4" s="4" t="s">
        <v>90</v>
      </c>
      <c r="U4" s="55"/>
      <c r="V4" s="456" t="s">
        <v>1175</v>
      </c>
      <c r="W4" s="4" t="s">
        <v>142</v>
      </c>
      <c r="X4" s="4" t="s">
        <v>559</v>
      </c>
      <c r="Y4" s="4" t="s">
        <v>560</v>
      </c>
      <c r="Z4" s="4" t="s">
        <v>559</v>
      </c>
      <c r="AA4" s="4" t="s">
        <v>560</v>
      </c>
      <c r="AB4" s="4" t="s">
        <v>559</v>
      </c>
      <c r="AC4" s="4" t="s">
        <v>560</v>
      </c>
      <c r="AD4" s="4"/>
      <c r="AE4" s="55"/>
      <c r="AF4" s="456" t="s">
        <v>1177</v>
      </c>
      <c r="AG4" s="4" t="s">
        <v>142</v>
      </c>
      <c r="AH4" s="4" t="s">
        <v>559</v>
      </c>
      <c r="AI4" s="4" t="s">
        <v>560</v>
      </c>
      <c r="AJ4" s="4" t="s">
        <v>559</v>
      </c>
      <c r="AK4" s="4" t="s">
        <v>560</v>
      </c>
      <c r="AL4" s="4" t="s">
        <v>559</v>
      </c>
      <c r="AM4" s="4" t="s">
        <v>560</v>
      </c>
      <c r="AN4" s="4"/>
      <c r="AO4" s="55"/>
      <c r="AP4" s="456" t="s">
        <v>1178</v>
      </c>
      <c r="AQ4" s="4" t="s">
        <v>142</v>
      </c>
      <c r="AR4" s="4" t="s">
        <v>561</v>
      </c>
      <c r="AS4" s="4" t="s">
        <v>562</v>
      </c>
      <c r="AT4" s="4" t="s">
        <v>561</v>
      </c>
      <c r="AU4" s="4" t="s">
        <v>562</v>
      </c>
      <c r="AV4" s="4" t="s">
        <v>561</v>
      </c>
      <c r="AW4" s="4" t="s">
        <v>562</v>
      </c>
      <c r="AX4" s="4" t="s">
        <v>561</v>
      </c>
      <c r="AY4" s="4" t="s">
        <v>562</v>
      </c>
      <c r="AZ4" s="4" t="s">
        <v>561</v>
      </c>
      <c r="BA4" s="4" t="s">
        <v>562</v>
      </c>
      <c r="BB4" s="4"/>
      <c r="BC4" s="55"/>
      <c r="BD4" s="456" t="s">
        <v>1180</v>
      </c>
      <c r="BE4" s="4" t="s">
        <v>142</v>
      </c>
      <c r="BF4" s="4" t="s">
        <v>561</v>
      </c>
      <c r="BG4" s="4" t="s">
        <v>562</v>
      </c>
      <c r="BH4" s="4" t="s">
        <v>561</v>
      </c>
      <c r="BI4" s="4" t="s">
        <v>562</v>
      </c>
      <c r="BJ4" s="4" t="s">
        <v>561</v>
      </c>
      <c r="BK4" s="4" t="s">
        <v>562</v>
      </c>
      <c r="BL4" s="4" t="s">
        <v>561</v>
      </c>
      <c r="BM4" s="4" t="s">
        <v>562</v>
      </c>
      <c r="BN4" s="4" t="s">
        <v>561</v>
      </c>
      <c r="BO4" s="4" t="s">
        <v>562</v>
      </c>
      <c r="BP4" s="4"/>
      <c r="BQ4" s="55"/>
      <c r="BR4" s="36" t="s">
        <v>563</v>
      </c>
      <c r="BS4" s="37">
        <v>2015</v>
      </c>
      <c r="BT4" s="37">
        <v>2016</v>
      </c>
      <c r="BU4" s="37">
        <v>2017</v>
      </c>
      <c r="BV4" s="37">
        <v>2018</v>
      </c>
      <c r="BW4" s="37">
        <v>2019</v>
      </c>
      <c r="BX4" s="37">
        <v>2020</v>
      </c>
      <c r="BY4" s="26"/>
    </row>
    <row r="5" spans="1:77" ht="21.6" customHeight="1" x14ac:dyDescent="0.2">
      <c r="A5" s="625" t="s">
        <v>154</v>
      </c>
      <c r="B5" s="236" t="s">
        <v>72</v>
      </c>
      <c r="C5" s="109">
        <f>SUM(C6:C7)</f>
        <v>0</v>
      </c>
      <c r="D5" s="109">
        <f>SUM(D6:D7)</f>
        <v>53291615</v>
      </c>
      <c r="E5" s="109">
        <f>SUM(E6:E7)</f>
        <v>53291615</v>
      </c>
      <c r="F5" s="109">
        <f>SUM(F6:F7)</f>
        <v>53291615</v>
      </c>
      <c r="G5" s="11"/>
      <c r="H5" s="625" t="s">
        <v>154</v>
      </c>
      <c r="I5" s="236" t="s">
        <v>72</v>
      </c>
      <c r="J5" s="109">
        <f>SUM(J6:J7)</f>
        <v>1620</v>
      </c>
      <c r="K5" s="109">
        <f>SUM(K6:K7)</f>
        <v>132.98999999999998</v>
      </c>
      <c r="L5" s="55"/>
      <c r="M5" s="625" t="s">
        <v>154</v>
      </c>
      <c r="N5" s="236" t="s">
        <v>72</v>
      </c>
      <c r="O5" s="93">
        <f t="shared" ref="O5:T5" si="0">SUM(O6:O7)</f>
        <v>0</v>
      </c>
      <c r="P5" s="93">
        <f t="shared" si="0"/>
        <v>0</v>
      </c>
      <c r="Q5" s="93">
        <f t="shared" si="0"/>
        <v>0</v>
      </c>
      <c r="R5" s="93">
        <f t="shared" si="0"/>
        <v>0</v>
      </c>
      <c r="S5" s="93">
        <f t="shared" si="0"/>
        <v>0</v>
      </c>
      <c r="T5" s="518">
        <f t="shared" si="0"/>
        <v>0</v>
      </c>
      <c r="U5" s="55"/>
      <c r="V5" s="625" t="s">
        <v>154</v>
      </c>
      <c r="W5" s="236" t="s">
        <v>72</v>
      </c>
      <c r="X5" s="93">
        <f t="shared" ref="X5:AD5" si="1">SUM(X6:X7)</f>
        <v>0</v>
      </c>
      <c r="Y5" s="93">
        <f t="shared" si="1"/>
        <v>143.80493999999999</v>
      </c>
      <c r="Z5" s="93">
        <f t="shared" si="1"/>
        <v>163.94</v>
      </c>
      <c r="AA5" s="93">
        <f t="shared" si="1"/>
        <v>193.3</v>
      </c>
      <c r="AB5" s="93">
        <f t="shared" si="1"/>
        <v>0</v>
      </c>
      <c r="AC5" s="93">
        <f t="shared" si="1"/>
        <v>0</v>
      </c>
      <c r="AD5" s="93">
        <f t="shared" si="1"/>
        <v>501.04494</v>
      </c>
      <c r="AE5" s="55"/>
      <c r="AF5" s="625" t="s">
        <v>154</v>
      </c>
      <c r="AG5" s="236" t="s">
        <v>72</v>
      </c>
      <c r="AH5" s="93">
        <f t="shared" ref="AH5:AN5" si="2">SUM(AH6:AH7)</f>
        <v>0</v>
      </c>
      <c r="AI5" s="93">
        <f t="shared" si="2"/>
        <v>2021.85</v>
      </c>
      <c r="AJ5" s="93">
        <f t="shared" si="2"/>
        <v>7.66</v>
      </c>
      <c r="AK5" s="93">
        <f t="shared" si="2"/>
        <v>3651.77</v>
      </c>
      <c r="AL5" s="93">
        <f t="shared" si="2"/>
        <v>0</v>
      </c>
      <c r="AM5" s="93">
        <f t="shared" si="2"/>
        <v>0</v>
      </c>
      <c r="AN5" s="93">
        <f t="shared" si="2"/>
        <v>5681.28</v>
      </c>
      <c r="AO5" s="55"/>
      <c r="AP5" s="625" t="s">
        <v>154</v>
      </c>
      <c r="AQ5" s="236" t="s">
        <v>72</v>
      </c>
      <c r="AR5" s="93">
        <f t="shared" ref="AR5:BB5" si="3">SUM(AR6:AR7)</f>
        <v>0</v>
      </c>
      <c r="AS5" s="93">
        <f t="shared" si="3"/>
        <v>0</v>
      </c>
      <c r="AT5" s="93">
        <f t="shared" si="3"/>
        <v>19.303750000000001</v>
      </c>
      <c r="AU5" s="93">
        <f t="shared" si="3"/>
        <v>15.04</v>
      </c>
      <c r="AV5" s="93">
        <f t="shared" si="3"/>
        <v>0</v>
      </c>
      <c r="AW5" s="93">
        <f t="shared" si="3"/>
        <v>0</v>
      </c>
      <c r="AX5" s="93">
        <f t="shared" si="3"/>
        <v>0</v>
      </c>
      <c r="AY5" s="93">
        <f t="shared" si="3"/>
        <v>6.97</v>
      </c>
      <c r="AZ5" s="93">
        <f t="shared" si="3"/>
        <v>0</v>
      </c>
      <c r="BA5" s="93">
        <f t="shared" si="3"/>
        <v>2.27</v>
      </c>
      <c r="BB5" s="93">
        <f t="shared" si="3"/>
        <v>43.583749999999995</v>
      </c>
      <c r="BC5" s="55"/>
      <c r="BD5" s="625" t="s">
        <v>154</v>
      </c>
      <c r="BE5" s="236" t="s">
        <v>72</v>
      </c>
      <c r="BF5" s="93">
        <f t="shared" ref="BF5:BP5" si="4">SUM(BF6:BF7)</f>
        <v>0</v>
      </c>
      <c r="BG5" s="93">
        <f t="shared" si="4"/>
        <v>0</v>
      </c>
      <c r="BH5" s="93">
        <f t="shared" si="4"/>
        <v>0</v>
      </c>
      <c r="BI5" s="93">
        <f t="shared" si="4"/>
        <v>0</v>
      </c>
      <c r="BJ5" s="93">
        <f t="shared" si="4"/>
        <v>0</v>
      </c>
      <c r="BK5" s="93">
        <f t="shared" si="4"/>
        <v>0</v>
      </c>
      <c r="BL5" s="93">
        <f t="shared" si="4"/>
        <v>572.37819000000002</v>
      </c>
      <c r="BM5" s="93">
        <f t="shared" si="4"/>
        <v>0</v>
      </c>
      <c r="BN5" s="93">
        <f t="shared" si="4"/>
        <v>308.91000000000003</v>
      </c>
      <c r="BO5" s="93">
        <f t="shared" si="4"/>
        <v>0</v>
      </c>
      <c r="BP5" s="93">
        <f t="shared" si="4"/>
        <v>881.2881900000001</v>
      </c>
      <c r="BQ5" s="55"/>
      <c r="BR5" s="10" t="s">
        <v>564</v>
      </c>
      <c r="BS5" s="262">
        <v>340.1</v>
      </c>
      <c r="BT5" s="262">
        <v>335.9</v>
      </c>
      <c r="BU5" s="262">
        <v>346</v>
      </c>
      <c r="BV5" s="262">
        <v>299.7</v>
      </c>
      <c r="BW5" s="238">
        <v>320600000</v>
      </c>
      <c r="BX5" s="238">
        <f>F25</f>
        <v>284912221.4437387</v>
      </c>
      <c r="BY5" s="26"/>
    </row>
    <row r="6" spans="1:77" ht="21.6" customHeight="1" x14ac:dyDescent="0.2">
      <c r="A6" s="626"/>
      <c r="B6" s="118" t="s">
        <v>41</v>
      </c>
      <c r="C6" s="53">
        <v>0</v>
      </c>
      <c r="D6" s="53">
        <v>32201489</v>
      </c>
      <c r="E6" s="53">
        <v>32201489</v>
      </c>
      <c r="F6" s="53">
        <v>32201489</v>
      </c>
      <c r="G6" s="11"/>
      <c r="H6" s="626"/>
      <c r="I6" s="118" t="s">
        <v>41</v>
      </c>
      <c r="J6" s="48" t="s">
        <v>93</v>
      </c>
      <c r="K6" s="53">
        <v>1.79</v>
      </c>
      <c r="L6" s="55"/>
      <c r="M6" s="626"/>
      <c r="N6" s="118" t="s">
        <v>41</v>
      </c>
      <c r="O6" s="98">
        <v>0</v>
      </c>
      <c r="P6" s="98">
        <v>0</v>
      </c>
      <c r="Q6" s="98">
        <v>0</v>
      </c>
      <c r="R6" s="98">
        <v>0</v>
      </c>
      <c r="S6" s="263">
        <v>0</v>
      </c>
      <c r="T6" s="520">
        <v>0</v>
      </c>
      <c r="V6" s="626"/>
      <c r="W6" s="118" t="s">
        <v>41</v>
      </c>
      <c r="X6" s="98">
        <v>0</v>
      </c>
      <c r="Y6" s="98">
        <v>0</v>
      </c>
      <c r="Z6" s="98">
        <v>163.94</v>
      </c>
      <c r="AA6" s="98">
        <v>193.3</v>
      </c>
      <c r="AB6" s="98">
        <v>0</v>
      </c>
      <c r="AC6" s="98">
        <v>0</v>
      </c>
      <c r="AD6" s="98">
        <f>SUM(X6:AC6)</f>
        <v>357.24</v>
      </c>
      <c r="AE6" s="55"/>
      <c r="AF6" s="626"/>
      <c r="AG6" s="118" t="s">
        <v>41</v>
      </c>
      <c r="AH6" s="98">
        <v>0</v>
      </c>
      <c r="AI6" s="98">
        <v>19.29</v>
      </c>
      <c r="AJ6" s="98">
        <v>7.66</v>
      </c>
      <c r="AK6" s="98">
        <v>3651.77</v>
      </c>
      <c r="AL6" s="98">
        <v>0</v>
      </c>
      <c r="AM6" s="98">
        <v>0</v>
      </c>
      <c r="AN6" s="98">
        <f>SUM(AH6:AM6)</f>
        <v>3678.72</v>
      </c>
      <c r="AO6" s="55"/>
      <c r="AP6" s="626"/>
      <c r="AQ6" s="118" t="s">
        <v>41</v>
      </c>
      <c r="AR6" s="98">
        <v>0</v>
      </c>
      <c r="AS6" s="98">
        <v>0</v>
      </c>
      <c r="AT6" s="98">
        <v>0</v>
      </c>
      <c r="AU6" s="98">
        <v>15.04</v>
      </c>
      <c r="AV6" s="98">
        <v>0</v>
      </c>
      <c r="AW6" s="98">
        <v>0</v>
      </c>
      <c r="AX6" s="98">
        <v>0</v>
      </c>
      <c r="AY6" s="98">
        <v>0</v>
      </c>
      <c r="AZ6" s="98">
        <v>0</v>
      </c>
      <c r="BA6" s="98">
        <v>2.27</v>
      </c>
      <c r="BB6" s="98">
        <f>SUM(AR6:BA6)</f>
        <v>17.309999999999999</v>
      </c>
      <c r="BC6" s="55"/>
      <c r="BD6" s="626"/>
      <c r="BE6" s="118" t="s">
        <v>41</v>
      </c>
      <c r="BF6" s="98">
        <v>0</v>
      </c>
      <c r="BG6" s="98">
        <v>0</v>
      </c>
      <c r="BH6" s="98">
        <v>0</v>
      </c>
      <c r="BI6" s="98">
        <v>0</v>
      </c>
      <c r="BJ6" s="98">
        <v>0</v>
      </c>
      <c r="BK6" s="98">
        <v>0</v>
      </c>
      <c r="BL6" s="98">
        <v>521.74</v>
      </c>
      <c r="BM6" s="98">
        <v>0</v>
      </c>
      <c r="BN6" s="98">
        <v>308.91000000000003</v>
      </c>
      <c r="BO6" s="98">
        <v>0</v>
      </c>
      <c r="BP6" s="98">
        <f>SUM(BF6:BO6)</f>
        <v>830.65000000000009</v>
      </c>
      <c r="BQ6" s="55"/>
      <c r="BR6" s="10" t="s">
        <v>565</v>
      </c>
      <c r="BS6" s="10" t="s">
        <v>93</v>
      </c>
      <c r="BT6" s="218" t="s">
        <v>93</v>
      </c>
      <c r="BU6" s="218" t="s">
        <v>93</v>
      </c>
      <c r="BV6" s="218" t="s">
        <v>93</v>
      </c>
      <c r="BW6" s="218" t="s">
        <v>93</v>
      </c>
      <c r="BX6" s="264">
        <v>283579259.33668101</v>
      </c>
      <c r="BY6" s="26"/>
    </row>
    <row r="7" spans="1:77" ht="21.6" customHeight="1" x14ac:dyDescent="0.2">
      <c r="A7" s="622"/>
      <c r="B7" s="118" t="s">
        <v>158</v>
      </c>
      <c r="C7" s="53">
        <v>0</v>
      </c>
      <c r="D7" s="53">
        <v>21090126</v>
      </c>
      <c r="E7" s="53">
        <v>21090126</v>
      </c>
      <c r="F7" s="53">
        <v>21090126</v>
      </c>
      <c r="G7" s="11"/>
      <c r="H7" s="622"/>
      <c r="I7" s="118" t="s">
        <v>158</v>
      </c>
      <c r="J7" s="53">
        <v>1620</v>
      </c>
      <c r="K7" s="53">
        <v>131.19999999999999</v>
      </c>
      <c r="L7" s="55"/>
      <c r="M7" s="622"/>
      <c r="N7" s="118" t="s">
        <v>158</v>
      </c>
      <c r="O7" s="98">
        <v>0</v>
      </c>
      <c r="P7" s="98">
        <v>0</v>
      </c>
      <c r="Q7" s="98">
        <v>0</v>
      </c>
      <c r="R7" s="98">
        <v>0</v>
      </c>
      <c r="S7" s="98">
        <v>0</v>
      </c>
      <c r="T7" s="519">
        <v>0</v>
      </c>
      <c r="U7" s="55"/>
      <c r="V7" s="622"/>
      <c r="W7" s="118" t="s">
        <v>158</v>
      </c>
      <c r="X7" s="98">
        <v>0</v>
      </c>
      <c r="Y7" s="98">
        <v>143.80493999999999</v>
      </c>
      <c r="Z7" s="98">
        <v>0</v>
      </c>
      <c r="AA7" s="98">
        <v>0</v>
      </c>
      <c r="AB7" s="98">
        <v>0</v>
      </c>
      <c r="AC7" s="98">
        <v>0</v>
      </c>
      <c r="AD7" s="98">
        <f>SUM(X7:AC7)</f>
        <v>143.80493999999999</v>
      </c>
      <c r="AE7" s="55"/>
      <c r="AF7" s="622"/>
      <c r="AG7" s="118" t="s">
        <v>158</v>
      </c>
      <c r="AH7" s="98">
        <v>0</v>
      </c>
      <c r="AI7" s="98">
        <v>2002.56</v>
      </c>
      <c r="AJ7" s="98">
        <v>0</v>
      </c>
      <c r="AK7" s="98">
        <v>0</v>
      </c>
      <c r="AL7" s="98">
        <v>0</v>
      </c>
      <c r="AM7" s="98">
        <v>0</v>
      </c>
      <c r="AN7" s="98">
        <f>SUM(AH7:AM7)</f>
        <v>2002.56</v>
      </c>
      <c r="AO7" s="55"/>
      <c r="AP7" s="622"/>
      <c r="AQ7" s="118" t="s">
        <v>158</v>
      </c>
      <c r="AR7" s="98">
        <v>0</v>
      </c>
      <c r="AS7" s="98">
        <v>0</v>
      </c>
      <c r="AT7" s="98">
        <v>19.303750000000001</v>
      </c>
      <c r="AU7" s="98">
        <v>0</v>
      </c>
      <c r="AV7" s="98">
        <v>0</v>
      </c>
      <c r="AW7" s="98">
        <v>0</v>
      </c>
      <c r="AX7" s="98">
        <v>0</v>
      </c>
      <c r="AY7" s="98">
        <v>6.97</v>
      </c>
      <c r="AZ7" s="98">
        <v>0</v>
      </c>
      <c r="BA7" s="98">
        <v>0</v>
      </c>
      <c r="BB7" s="98">
        <f>SUM(AR7:BA7)</f>
        <v>26.27375</v>
      </c>
      <c r="BC7" s="55"/>
      <c r="BD7" s="622"/>
      <c r="BE7" s="118" t="s">
        <v>158</v>
      </c>
      <c r="BF7" s="98">
        <v>0</v>
      </c>
      <c r="BG7" s="98">
        <v>0</v>
      </c>
      <c r="BH7" s="98">
        <v>0</v>
      </c>
      <c r="BI7" s="98">
        <v>0</v>
      </c>
      <c r="BJ7" s="98">
        <v>0</v>
      </c>
      <c r="BK7" s="98">
        <v>0</v>
      </c>
      <c r="BL7" s="98">
        <v>50.638190000000002</v>
      </c>
      <c r="BM7" s="98">
        <v>0</v>
      </c>
      <c r="BN7" s="98">
        <v>0</v>
      </c>
      <c r="BO7" s="98">
        <v>0</v>
      </c>
      <c r="BP7" s="98">
        <f>SUM(BF7:BO7)</f>
        <v>50.638190000000002</v>
      </c>
      <c r="BQ7" s="55"/>
      <c r="BR7" s="10" t="s">
        <v>566</v>
      </c>
      <c r="BS7" s="262">
        <v>135.9</v>
      </c>
      <c r="BT7" s="262">
        <v>96.8</v>
      </c>
      <c r="BU7" s="262">
        <v>110.9</v>
      </c>
      <c r="BV7" s="262">
        <v>112.1</v>
      </c>
      <c r="BW7" s="264">
        <v>120700000</v>
      </c>
      <c r="BX7" s="264">
        <v>116235571.81999999</v>
      </c>
      <c r="BY7" s="26"/>
    </row>
    <row r="8" spans="1:77" ht="21.6" customHeight="1" x14ac:dyDescent="0.2">
      <c r="A8" s="623" t="s">
        <v>160</v>
      </c>
      <c r="B8" s="236" t="s">
        <v>79</v>
      </c>
      <c r="C8" s="109">
        <f>C9</f>
        <v>16902721.443738699</v>
      </c>
      <c r="D8" s="109">
        <f>D9</f>
        <v>0</v>
      </c>
      <c r="E8" s="109">
        <f>E9</f>
        <v>16902721.443738699</v>
      </c>
      <c r="F8" s="109">
        <f>F9</f>
        <v>16902721.443738699</v>
      </c>
      <c r="G8" s="11"/>
      <c r="H8" s="625" t="s">
        <v>160</v>
      </c>
      <c r="I8" s="236" t="s">
        <v>79</v>
      </c>
      <c r="J8" s="109">
        <f>J9</f>
        <v>0</v>
      </c>
      <c r="K8" s="109">
        <f>K9</f>
        <v>0</v>
      </c>
      <c r="L8" s="55"/>
      <c r="M8" s="625" t="s">
        <v>160</v>
      </c>
      <c r="N8" s="236" t="s">
        <v>79</v>
      </c>
      <c r="O8" s="93">
        <f t="shared" ref="O8:T8" si="5">O9</f>
        <v>2.4546279491832999E-2</v>
      </c>
      <c r="P8" s="93">
        <f t="shared" si="5"/>
        <v>0</v>
      </c>
      <c r="Q8" s="93">
        <f t="shared" si="5"/>
        <v>1.724137931</v>
      </c>
      <c r="R8" s="93">
        <f t="shared" si="5"/>
        <v>0</v>
      </c>
      <c r="S8" s="93">
        <f t="shared" si="5"/>
        <v>1.3339382940108901E-2</v>
      </c>
      <c r="T8" s="93">
        <f t="shared" si="5"/>
        <v>1.7620235934319399</v>
      </c>
      <c r="U8" s="55"/>
      <c r="V8" s="625" t="s">
        <v>160</v>
      </c>
      <c r="W8" s="236" t="s">
        <v>79</v>
      </c>
      <c r="X8" s="93">
        <f t="shared" ref="X8:AD8" si="6">X9</f>
        <v>0</v>
      </c>
      <c r="Y8" s="93">
        <f t="shared" si="6"/>
        <v>0</v>
      </c>
      <c r="Z8" s="93">
        <f t="shared" si="6"/>
        <v>0</v>
      </c>
      <c r="AA8" s="93">
        <f t="shared" si="6"/>
        <v>6.01983938294011</v>
      </c>
      <c r="AB8" s="93">
        <f t="shared" si="6"/>
        <v>0</v>
      </c>
      <c r="AC8" s="93">
        <f t="shared" si="6"/>
        <v>0</v>
      </c>
      <c r="AD8" s="93">
        <f t="shared" si="6"/>
        <v>6.01983938294011</v>
      </c>
      <c r="AE8" s="55"/>
      <c r="AF8" s="625" t="s">
        <v>160</v>
      </c>
      <c r="AG8" s="236" t="s">
        <v>79</v>
      </c>
      <c r="AH8" s="93">
        <f t="shared" ref="AH8:AN8" si="7">AH9</f>
        <v>377.54079999999999</v>
      </c>
      <c r="AI8" s="93">
        <f t="shared" si="7"/>
        <v>21.2</v>
      </c>
      <c r="AJ8" s="93">
        <f t="shared" si="7"/>
        <v>0</v>
      </c>
      <c r="AK8" s="93">
        <f t="shared" si="7"/>
        <v>186.6079</v>
      </c>
      <c r="AL8" s="93">
        <f t="shared" si="7"/>
        <v>50.14</v>
      </c>
      <c r="AM8" s="93">
        <f t="shared" si="7"/>
        <v>0</v>
      </c>
      <c r="AN8" s="93">
        <f t="shared" si="7"/>
        <v>635.48869999999999</v>
      </c>
      <c r="AO8" s="55"/>
      <c r="AP8" s="625" t="s">
        <v>160</v>
      </c>
      <c r="AQ8" s="236" t="s">
        <v>79</v>
      </c>
      <c r="AR8" s="93">
        <f t="shared" ref="AR8:BB8" si="8">AR9</f>
        <v>0</v>
      </c>
      <c r="AS8" s="93">
        <f t="shared" si="8"/>
        <v>0</v>
      </c>
      <c r="AT8" s="93">
        <f t="shared" si="8"/>
        <v>0</v>
      </c>
      <c r="AU8" s="93">
        <f t="shared" si="8"/>
        <v>0.20417422867513599</v>
      </c>
      <c r="AV8" s="93">
        <f t="shared" si="8"/>
        <v>0</v>
      </c>
      <c r="AW8" s="93">
        <f t="shared" si="8"/>
        <v>0</v>
      </c>
      <c r="AX8" s="93">
        <f t="shared" si="8"/>
        <v>0</v>
      </c>
      <c r="AY8" s="93">
        <f t="shared" si="8"/>
        <v>59.859346642468203</v>
      </c>
      <c r="AZ8" s="93">
        <f t="shared" si="8"/>
        <v>0</v>
      </c>
      <c r="BA8" s="93">
        <f t="shared" si="8"/>
        <v>2.04174228675136E-2</v>
      </c>
      <c r="BB8" s="93">
        <f t="shared" si="8"/>
        <v>60.083938294010856</v>
      </c>
      <c r="BC8" s="55"/>
      <c r="BD8" s="625" t="s">
        <v>160</v>
      </c>
      <c r="BE8" s="236" t="s">
        <v>79</v>
      </c>
      <c r="BF8" s="93">
        <f t="shared" ref="BF8:BP8" si="9">BF9</f>
        <v>0</v>
      </c>
      <c r="BG8" s="93">
        <f t="shared" si="9"/>
        <v>0</v>
      </c>
      <c r="BH8" s="93">
        <f t="shared" si="9"/>
        <v>0</v>
      </c>
      <c r="BI8" s="93">
        <f t="shared" si="9"/>
        <v>1.5880217785843899E-2</v>
      </c>
      <c r="BJ8" s="93">
        <f t="shared" si="9"/>
        <v>0</v>
      </c>
      <c r="BK8" s="93">
        <f t="shared" si="9"/>
        <v>0</v>
      </c>
      <c r="BL8" s="93">
        <f t="shared" si="9"/>
        <v>0</v>
      </c>
      <c r="BM8" s="93">
        <f t="shared" si="9"/>
        <v>3.1034482758620698</v>
      </c>
      <c r="BN8" s="93">
        <f t="shared" si="9"/>
        <v>0</v>
      </c>
      <c r="BO8" s="93">
        <f t="shared" si="9"/>
        <v>0</v>
      </c>
      <c r="BP8" s="93">
        <f t="shared" si="9"/>
        <v>3.1193284936479135</v>
      </c>
      <c r="BQ8" s="55"/>
      <c r="BR8" s="10" t="s">
        <v>567</v>
      </c>
      <c r="BS8" s="262">
        <v>40</v>
      </c>
      <c r="BT8" s="262">
        <v>12</v>
      </c>
      <c r="BU8" s="262">
        <v>12.2</v>
      </c>
      <c r="BV8" s="262">
        <v>18.399999999999999</v>
      </c>
      <c r="BW8" s="265">
        <v>32100</v>
      </c>
      <c r="BX8" s="265">
        <f>SUM(AD25,BB25)</f>
        <v>18753.244388501953</v>
      </c>
      <c r="BY8" s="26"/>
    </row>
    <row r="9" spans="1:77" ht="21.6" customHeight="1" x14ac:dyDescent="0.2">
      <c r="A9" s="623"/>
      <c r="B9" s="118" t="s">
        <v>19</v>
      </c>
      <c r="C9" s="53">
        <v>16902721.443738699</v>
      </c>
      <c r="D9" s="53">
        <v>0</v>
      </c>
      <c r="E9" s="53">
        <v>16902721.443738699</v>
      </c>
      <c r="F9" s="53">
        <v>16902721.443738699</v>
      </c>
      <c r="G9" s="11"/>
      <c r="H9" s="626"/>
      <c r="I9" s="118" t="s">
        <v>19</v>
      </c>
      <c r="J9" s="53">
        <v>0</v>
      </c>
      <c r="K9" s="53">
        <v>0</v>
      </c>
      <c r="L9" s="55"/>
      <c r="M9" s="626"/>
      <c r="N9" s="118" t="s">
        <v>19</v>
      </c>
      <c r="O9" s="98">
        <v>2.4546279491832999E-2</v>
      </c>
      <c r="P9" s="98">
        <v>0</v>
      </c>
      <c r="Q9" s="98">
        <v>1.724137931</v>
      </c>
      <c r="R9" s="98">
        <v>0</v>
      </c>
      <c r="S9" s="98">
        <v>1.3339382940108901E-2</v>
      </c>
      <c r="T9" s="98">
        <v>1.7620235934319399</v>
      </c>
      <c r="U9" s="55"/>
      <c r="V9" s="626"/>
      <c r="W9" s="118" t="s">
        <v>19</v>
      </c>
      <c r="X9" s="98">
        <v>0</v>
      </c>
      <c r="Y9" s="98">
        <v>0</v>
      </c>
      <c r="Z9" s="98">
        <v>0</v>
      </c>
      <c r="AA9" s="98">
        <v>6.01983938294011</v>
      </c>
      <c r="AB9" s="98">
        <v>0</v>
      </c>
      <c r="AC9" s="98">
        <v>0</v>
      </c>
      <c r="AD9" s="98">
        <f>SUM(X9:AC9)</f>
        <v>6.01983938294011</v>
      </c>
      <c r="AE9" s="55"/>
      <c r="AF9" s="626"/>
      <c r="AG9" s="118" t="s">
        <v>19</v>
      </c>
      <c r="AH9" s="98">
        <v>377.54079999999999</v>
      </c>
      <c r="AI9" s="98">
        <v>21.2</v>
      </c>
      <c r="AJ9" s="98">
        <v>0</v>
      </c>
      <c r="AK9" s="98">
        <v>186.6079</v>
      </c>
      <c r="AL9" s="98">
        <v>50.14</v>
      </c>
      <c r="AM9" s="98">
        <v>0</v>
      </c>
      <c r="AN9" s="98">
        <f>SUM(AH9:AM9)</f>
        <v>635.48869999999999</v>
      </c>
      <c r="AO9" s="55"/>
      <c r="AP9" s="626"/>
      <c r="AQ9" s="118" t="s">
        <v>19</v>
      </c>
      <c r="AR9" s="98">
        <v>0</v>
      </c>
      <c r="AS9" s="98">
        <v>0</v>
      </c>
      <c r="AT9" s="98">
        <v>0</v>
      </c>
      <c r="AU9" s="98">
        <v>0.20417422867513599</v>
      </c>
      <c r="AV9" s="98">
        <v>0</v>
      </c>
      <c r="AW9" s="98">
        <v>0</v>
      </c>
      <c r="AX9" s="98">
        <v>0</v>
      </c>
      <c r="AY9" s="98">
        <v>59.859346642468203</v>
      </c>
      <c r="AZ9" s="98">
        <v>0</v>
      </c>
      <c r="BA9" s="98">
        <v>2.04174228675136E-2</v>
      </c>
      <c r="BB9" s="98">
        <f>SUM(AR9:BA9)</f>
        <v>60.083938294010856</v>
      </c>
      <c r="BC9" s="55"/>
      <c r="BD9" s="626"/>
      <c r="BE9" s="118" t="s">
        <v>19</v>
      </c>
      <c r="BF9" s="98">
        <v>0</v>
      </c>
      <c r="BG9" s="98">
        <v>0</v>
      </c>
      <c r="BH9" s="98">
        <v>0</v>
      </c>
      <c r="BI9" s="98">
        <v>1.5880217785843899E-2</v>
      </c>
      <c r="BJ9" s="98">
        <v>0</v>
      </c>
      <c r="BK9" s="98">
        <v>0</v>
      </c>
      <c r="BL9" s="98">
        <v>0</v>
      </c>
      <c r="BM9" s="98">
        <v>3.1034482758620698</v>
      </c>
      <c r="BN9" s="98">
        <v>0</v>
      </c>
      <c r="BO9" s="98">
        <v>0</v>
      </c>
      <c r="BP9" s="98">
        <f>SUM(BF9:BO9)</f>
        <v>3.1193284936479135</v>
      </c>
      <c r="BQ9" s="55"/>
      <c r="BR9" s="10" t="s">
        <v>568</v>
      </c>
      <c r="BS9" s="262">
        <v>46</v>
      </c>
      <c r="BT9" s="262">
        <v>34.799999999999997</v>
      </c>
      <c r="BU9" s="262">
        <v>38.1</v>
      </c>
      <c r="BV9" s="262">
        <v>66.900000000000006</v>
      </c>
      <c r="BW9" s="265">
        <v>66600</v>
      </c>
      <c r="BX9" s="265">
        <f>SUM(BP25,AN25)</f>
        <v>52569.30062674365</v>
      </c>
      <c r="BY9" s="26"/>
    </row>
    <row r="10" spans="1:77" ht="21.6" customHeight="1" x14ac:dyDescent="0.2">
      <c r="A10" s="623"/>
      <c r="B10" s="236" t="s">
        <v>82</v>
      </c>
      <c r="C10" s="109">
        <f>SUM(C11:C13)</f>
        <v>406579</v>
      </c>
      <c r="D10" s="109">
        <f>SUM(D11:D13)</f>
        <v>6253133</v>
      </c>
      <c r="E10" s="109">
        <f>SUM(E11:E13)</f>
        <v>6662696</v>
      </c>
      <c r="F10" s="109">
        <f>SUM(F11:F13)</f>
        <v>7041882</v>
      </c>
      <c r="G10" s="11"/>
      <c r="H10" s="626"/>
      <c r="I10" s="236" t="s">
        <v>82</v>
      </c>
      <c r="J10" s="109">
        <f>SUM(J11:J13)</f>
        <v>20582</v>
      </c>
      <c r="K10" s="109">
        <f>SUM(K11:K13)</f>
        <v>0</v>
      </c>
      <c r="L10" s="55"/>
      <c r="M10" s="626"/>
      <c r="N10" s="236" t="s">
        <v>82</v>
      </c>
      <c r="O10" s="93">
        <f t="shared" ref="O10:T10" si="10">SUM(O11:O13)</f>
        <v>0</v>
      </c>
      <c r="P10" s="93">
        <f t="shared" si="10"/>
        <v>0</v>
      </c>
      <c r="Q10" s="93">
        <f t="shared" si="10"/>
        <v>0</v>
      </c>
      <c r="R10" s="93">
        <f t="shared" si="10"/>
        <v>0</v>
      </c>
      <c r="S10" s="93">
        <f t="shared" si="10"/>
        <v>0.3</v>
      </c>
      <c r="T10" s="93">
        <f t="shared" si="10"/>
        <v>0.3</v>
      </c>
      <c r="U10" s="55"/>
      <c r="V10" s="626"/>
      <c r="W10" s="236" t="s">
        <v>82</v>
      </c>
      <c r="X10" s="93">
        <f t="shared" ref="X10:AD10" si="11">SUM(X11:X13)</f>
        <v>27.9</v>
      </c>
      <c r="Y10" s="93">
        <f t="shared" si="11"/>
        <v>3.2</v>
      </c>
      <c r="Z10" s="93">
        <f t="shared" si="11"/>
        <v>0</v>
      </c>
      <c r="AA10" s="93">
        <f t="shared" si="11"/>
        <v>247.3</v>
      </c>
      <c r="AB10" s="93">
        <f t="shared" si="11"/>
        <v>0</v>
      </c>
      <c r="AC10" s="93">
        <f t="shared" si="11"/>
        <v>117.5</v>
      </c>
      <c r="AD10" s="93">
        <f t="shared" si="11"/>
        <v>395.9</v>
      </c>
      <c r="AE10" s="55"/>
      <c r="AF10" s="626"/>
      <c r="AG10" s="236" t="s">
        <v>82</v>
      </c>
      <c r="AH10" s="93">
        <f t="shared" ref="AH10:AN10" si="12">SUM(AH11:AH13)</f>
        <v>40</v>
      </c>
      <c r="AI10" s="93">
        <f t="shared" si="12"/>
        <v>74.3</v>
      </c>
      <c r="AJ10" s="93">
        <f t="shared" si="12"/>
        <v>9.5</v>
      </c>
      <c r="AK10" s="93">
        <f t="shared" si="12"/>
        <v>4223.2</v>
      </c>
      <c r="AL10" s="93">
        <f t="shared" si="12"/>
        <v>327.60000000000002</v>
      </c>
      <c r="AM10" s="93">
        <f t="shared" si="12"/>
        <v>0</v>
      </c>
      <c r="AN10" s="93">
        <f t="shared" si="12"/>
        <v>4674.6000000000004</v>
      </c>
      <c r="AO10" s="55"/>
      <c r="AP10" s="626"/>
      <c r="AQ10" s="236" t="s">
        <v>82</v>
      </c>
      <c r="AR10" s="93">
        <f t="shared" ref="AR10:BB10" si="13">SUM(AR11:AR13)</f>
        <v>0</v>
      </c>
      <c r="AS10" s="93">
        <f t="shared" si="13"/>
        <v>0</v>
      </c>
      <c r="AT10" s="93">
        <f t="shared" si="13"/>
        <v>0</v>
      </c>
      <c r="AU10" s="93">
        <f t="shared" si="13"/>
        <v>0</v>
      </c>
      <c r="AV10" s="93">
        <f t="shared" si="13"/>
        <v>0</v>
      </c>
      <c r="AW10" s="93">
        <f t="shared" si="13"/>
        <v>0</v>
      </c>
      <c r="AX10" s="93">
        <f t="shared" si="13"/>
        <v>0</v>
      </c>
      <c r="AY10" s="93">
        <f t="shared" si="13"/>
        <v>1419.9</v>
      </c>
      <c r="AZ10" s="93">
        <f t="shared" si="13"/>
        <v>7.9</v>
      </c>
      <c r="BA10" s="93">
        <f t="shared" si="13"/>
        <v>0</v>
      </c>
      <c r="BB10" s="93">
        <f t="shared" si="13"/>
        <v>1427.8</v>
      </c>
      <c r="BC10" s="55"/>
      <c r="BD10" s="626"/>
      <c r="BE10" s="236" t="s">
        <v>82</v>
      </c>
      <c r="BF10" s="93">
        <f t="shared" ref="BF10:BP10" si="14">SUM(BF11:BF13)</f>
        <v>0</v>
      </c>
      <c r="BG10" s="93">
        <f t="shared" si="14"/>
        <v>0</v>
      </c>
      <c r="BH10" s="93">
        <f t="shared" si="14"/>
        <v>0</v>
      </c>
      <c r="BI10" s="93">
        <f t="shared" si="14"/>
        <v>0</v>
      </c>
      <c r="BJ10" s="93">
        <f t="shared" si="14"/>
        <v>0</v>
      </c>
      <c r="BK10" s="93">
        <f t="shared" si="14"/>
        <v>0</v>
      </c>
      <c r="BL10" s="93">
        <f t="shared" si="14"/>
        <v>2407.8000000000002</v>
      </c>
      <c r="BM10" s="93">
        <f t="shared" si="14"/>
        <v>850.9</v>
      </c>
      <c r="BN10" s="93">
        <f t="shared" si="14"/>
        <v>0</v>
      </c>
      <c r="BO10" s="93">
        <f t="shared" si="14"/>
        <v>0</v>
      </c>
      <c r="BP10" s="93">
        <f t="shared" si="14"/>
        <v>3258.7</v>
      </c>
      <c r="BQ10" s="55"/>
      <c r="BR10" s="10" t="s">
        <v>569</v>
      </c>
      <c r="BS10" s="262">
        <v>12.5</v>
      </c>
      <c r="BT10" s="262">
        <v>19</v>
      </c>
      <c r="BU10" s="262">
        <v>26.6</v>
      </c>
      <c r="BV10" s="262">
        <v>26.9</v>
      </c>
      <c r="BW10" s="266">
        <v>7.6</v>
      </c>
      <c r="BX10" s="266">
        <v>24.6661137434319</v>
      </c>
      <c r="BY10" s="26"/>
    </row>
    <row r="11" spans="1:77" ht="21.6" customHeight="1" x14ac:dyDescent="0.2">
      <c r="A11" s="623"/>
      <c r="B11" s="118" t="s">
        <v>163</v>
      </c>
      <c r="C11" s="53">
        <v>268986</v>
      </c>
      <c r="D11" s="53">
        <v>0</v>
      </c>
      <c r="E11" s="53">
        <v>268986</v>
      </c>
      <c r="F11" s="53">
        <v>459126</v>
      </c>
      <c r="G11" s="11"/>
      <c r="H11" s="626"/>
      <c r="I11" s="118" t="s">
        <v>163</v>
      </c>
      <c r="J11" s="53">
        <v>20509</v>
      </c>
      <c r="K11" s="53">
        <v>0</v>
      </c>
      <c r="L11" s="55"/>
      <c r="M11" s="626"/>
      <c r="N11" s="118" t="s">
        <v>163</v>
      </c>
      <c r="O11" s="98">
        <v>0</v>
      </c>
      <c r="P11" s="98">
        <v>0</v>
      </c>
      <c r="Q11" s="98">
        <v>0</v>
      </c>
      <c r="R11" s="98">
        <v>0</v>
      </c>
      <c r="S11" s="98">
        <v>0.3</v>
      </c>
      <c r="T11" s="98">
        <v>0.3</v>
      </c>
      <c r="U11" s="55"/>
      <c r="V11" s="626"/>
      <c r="W11" s="118" t="s">
        <v>163</v>
      </c>
      <c r="X11" s="98">
        <v>27.9</v>
      </c>
      <c r="Y11" s="98">
        <v>0</v>
      </c>
      <c r="Z11" s="98">
        <v>0</v>
      </c>
      <c r="AA11" s="98">
        <v>26.8</v>
      </c>
      <c r="AB11" s="98">
        <v>0</v>
      </c>
      <c r="AC11" s="98">
        <v>117.5</v>
      </c>
      <c r="AD11" s="98">
        <f>SUM(X11:AC11)</f>
        <v>172.2</v>
      </c>
      <c r="AE11" s="55"/>
      <c r="AF11" s="626"/>
      <c r="AG11" s="118" t="s">
        <v>163</v>
      </c>
      <c r="AH11" s="98">
        <v>0</v>
      </c>
      <c r="AI11" s="98">
        <v>69.2</v>
      </c>
      <c r="AJ11" s="98">
        <v>9.5</v>
      </c>
      <c r="AK11" s="98">
        <v>1675.5</v>
      </c>
      <c r="AL11" s="98">
        <v>327.60000000000002</v>
      </c>
      <c r="AM11" s="98">
        <v>0</v>
      </c>
      <c r="AN11" s="98">
        <f>SUM(AH11:AM11)</f>
        <v>2081.8000000000002</v>
      </c>
      <c r="AO11" s="55"/>
      <c r="AP11" s="626"/>
      <c r="AQ11" s="118" t="s">
        <v>163</v>
      </c>
      <c r="AR11" s="98">
        <v>0</v>
      </c>
      <c r="AS11" s="98">
        <v>0</v>
      </c>
      <c r="AT11" s="98">
        <v>0</v>
      </c>
      <c r="AU11" s="98">
        <v>0</v>
      </c>
      <c r="AV11" s="98">
        <v>0</v>
      </c>
      <c r="AW11" s="98">
        <v>0</v>
      </c>
      <c r="AX11" s="98">
        <v>0</v>
      </c>
      <c r="AY11" s="98">
        <v>177.9</v>
      </c>
      <c r="AZ11" s="98">
        <v>6.4</v>
      </c>
      <c r="BA11" s="98">
        <v>0</v>
      </c>
      <c r="BB11" s="98">
        <f>SUM(AR11:BA11)</f>
        <v>184.3</v>
      </c>
      <c r="BC11" s="55"/>
      <c r="BD11" s="626"/>
      <c r="BE11" s="118" t="s">
        <v>163</v>
      </c>
      <c r="BF11" s="98">
        <v>0</v>
      </c>
      <c r="BG11" s="98">
        <v>0</v>
      </c>
      <c r="BH11" s="98">
        <v>0</v>
      </c>
      <c r="BI11" s="98">
        <v>0</v>
      </c>
      <c r="BJ11" s="98">
        <v>0</v>
      </c>
      <c r="BK11" s="98">
        <v>0</v>
      </c>
      <c r="BL11" s="98">
        <v>1395.9</v>
      </c>
      <c r="BM11" s="98">
        <v>7.1</v>
      </c>
      <c r="BN11" s="98">
        <v>0</v>
      </c>
      <c r="BO11" s="98">
        <v>0</v>
      </c>
      <c r="BP11" s="98">
        <f>SUM(BF11:BO11)</f>
        <v>1403</v>
      </c>
      <c r="BQ11" s="26"/>
      <c r="BR11" s="574" t="s">
        <v>1181</v>
      </c>
      <c r="BS11" s="574"/>
      <c r="BT11" s="574"/>
      <c r="BU11" s="574"/>
      <c r="BV11" s="574"/>
      <c r="BW11" s="574"/>
      <c r="BX11" s="574"/>
    </row>
    <row r="12" spans="1:77" ht="21.6" customHeight="1" x14ac:dyDescent="0.2">
      <c r="A12" s="623"/>
      <c r="B12" s="118" t="s">
        <v>164</v>
      </c>
      <c r="C12" s="53">
        <v>137593</v>
      </c>
      <c r="D12" s="53">
        <v>74192</v>
      </c>
      <c r="E12" s="53">
        <v>211785</v>
      </c>
      <c r="F12" s="53">
        <v>403815</v>
      </c>
      <c r="G12" s="11"/>
      <c r="H12" s="626"/>
      <c r="I12" s="118" t="s">
        <v>164</v>
      </c>
      <c r="J12" s="53">
        <v>73</v>
      </c>
      <c r="K12" s="53">
        <v>0</v>
      </c>
      <c r="L12" s="55"/>
      <c r="M12" s="626"/>
      <c r="N12" s="118" t="s">
        <v>164</v>
      </c>
      <c r="O12" s="98">
        <v>0</v>
      </c>
      <c r="P12" s="98">
        <v>0</v>
      </c>
      <c r="Q12" s="98">
        <v>0</v>
      </c>
      <c r="R12" s="98">
        <v>0</v>
      </c>
      <c r="S12" s="98">
        <v>0</v>
      </c>
      <c r="T12" s="98">
        <v>0</v>
      </c>
      <c r="U12" s="55"/>
      <c r="V12" s="626"/>
      <c r="W12" s="118" t="s">
        <v>164</v>
      </c>
      <c r="X12" s="98">
        <v>0</v>
      </c>
      <c r="Y12" s="98">
        <v>3.2</v>
      </c>
      <c r="Z12" s="98">
        <v>0</v>
      </c>
      <c r="AA12" s="98">
        <v>0</v>
      </c>
      <c r="AB12" s="98">
        <v>0</v>
      </c>
      <c r="AC12" s="98">
        <v>0</v>
      </c>
      <c r="AD12" s="98">
        <f>SUM(X12:AC12)</f>
        <v>3.2</v>
      </c>
      <c r="AE12" s="55"/>
      <c r="AF12" s="626"/>
      <c r="AG12" s="118" t="s">
        <v>164</v>
      </c>
      <c r="AH12" s="98">
        <v>0</v>
      </c>
      <c r="AI12" s="98">
        <v>0</v>
      </c>
      <c r="AJ12" s="98">
        <v>0</v>
      </c>
      <c r="AK12" s="98">
        <v>92.5</v>
      </c>
      <c r="AL12" s="98">
        <v>0</v>
      </c>
      <c r="AM12" s="98">
        <v>0</v>
      </c>
      <c r="AN12" s="98">
        <f>SUM(AH12:AM12)</f>
        <v>92.5</v>
      </c>
      <c r="AO12" s="55"/>
      <c r="AP12" s="626"/>
      <c r="AQ12" s="118" t="s">
        <v>164</v>
      </c>
      <c r="AR12" s="98">
        <v>0</v>
      </c>
      <c r="AS12" s="98">
        <v>0</v>
      </c>
      <c r="AT12" s="98">
        <v>0</v>
      </c>
      <c r="AU12" s="98">
        <v>0</v>
      </c>
      <c r="AV12" s="98">
        <v>0</v>
      </c>
      <c r="AW12" s="98">
        <v>0</v>
      </c>
      <c r="AX12" s="98">
        <v>0</v>
      </c>
      <c r="AY12" s="98">
        <v>0</v>
      </c>
      <c r="AZ12" s="98">
        <v>1.5</v>
      </c>
      <c r="BA12" s="98">
        <v>0</v>
      </c>
      <c r="BB12" s="98">
        <f>SUM(AR12:BA12)</f>
        <v>1.5</v>
      </c>
      <c r="BC12" s="55"/>
      <c r="BD12" s="626"/>
      <c r="BE12" s="118" t="s">
        <v>164</v>
      </c>
      <c r="BF12" s="98">
        <v>0</v>
      </c>
      <c r="BG12" s="98">
        <v>0</v>
      </c>
      <c r="BH12" s="98">
        <v>0</v>
      </c>
      <c r="BI12" s="98">
        <v>0</v>
      </c>
      <c r="BJ12" s="98">
        <v>0</v>
      </c>
      <c r="BK12" s="98">
        <v>0</v>
      </c>
      <c r="BL12" s="98">
        <v>0</v>
      </c>
      <c r="BM12" s="98">
        <v>0</v>
      </c>
      <c r="BN12" s="98">
        <v>0</v>
      </c>
      <c r="BO12" s="98">
        <v>0</v>
      </c>
      <c r="BP12" s="98">
        <f>SUM(BF12:BO12)</f>
        <v>0</v>
      </c>
      <c r="BQ12" s="26"/>
      <c r="BR12" s="679"/>
      <c r="BS12" s="679"/>
      <c r="BT12" s="679"/>
      <c r="BU12" s="679"/>
      <c r="BV12" s="679"/>
      <c r="BW12" s="679"/>
      <c r="BX12" s="679"/>
    </row>
    <row r="13" spans="1:77" ht="21.6" customHeight="1" x14ac:dyDescent="0.2">
      <c r="A13" s="623"/>
      <c r="B13" s="118" t="s">
        <v>29</v>
      </c>
      <c r="C13" s="53">
        <v>0</v>
      </c>
      <c r="D13" s="53">
        <v>6178941</v>
      </c>
      <c r="E13" s="53">
        <v>6181925</v>
      </c>
      <c r="F13" s="53">
        <v>6178941</v>
      </c>
      <c r="G13" s="11"/>
      <c r="H13" s="626"/>
      <c r="I13" s="118" t="s">
        <v>29</v>
      </c>
      <c r="J13" s="53">
        <v>0</v>
      </c>
      <c r="K13" s="53">
        <v>0</v>
      </c>
      <c r="L13" s="55"/>
      <c r="M13" s="626"/>
      <c r="N13" s="118" t="s">
        <v>29</v>
      </c>
      <c r="O13" s="98">
        <v>0</v>
      </c>
      <c r="P13" s="98">
        <v>0</v>
      </c>
      <c r="Q13" s="98">
        <v>0</v>
      </c>
      <c r="R13" s="98">
        <v>0</v>
      </c>
      <c r="S13" s="98">
        <v>0</v>
      </c>
      <c r="T13" s="98">
        <v>0</v>
      </c>
      <c r="U13" s="55"/>
      <c r="V13" s="626"/>
      <c r="W13" s="118" t="s">
        <v>29</v>
      </c>
      <c r="X13" s="98">
        <v>0</v>
      </c>
      <c r="Y13" s="98">
        <v>0</v>
      </c>
      <c r="Z13" s="98">
        <v>0</v>
      </c>
      <c r="AA13" s="98">
        <v>220.5</v>
      </c>
      <c r="AB13" s="98">
        <v>0</v>
      </c>
      <c r="AC13" s="98">
        <v>0</v>
      </c>
      <c r="AD13" s="98">
        <f>SUM(X13:AC13)</f>
        <v>220.5</v>
      </c>
      <c r="AE13" s="55"/>
      <c r="AF13" s="626"/>
      <c r="AG13" s="118" t="s">
        <v>29</v>
      </c>
      <c r="AH13" s="98">
        <v>40</v>
      </c>
      <c r="AI13" s="98">
        <v>5.0999999999999996</v>
      </c>
      <c r="AJ13" s="98">
        <v>0</v>
      </c>
      <c r="AK13" s="98">
        <v>2455.1999999999998</v>
      </c>
      <c r="AL13" s="98">
        <v>0</v>
      </c>
      <c r="AM13" s="98">
        <v>0</v>
      </c>
      <c r="AN13" s="98">
        <f>SUM(AH13:AM13)</f>
        <v>2500.2999999999997</v>
      </c>
      <c r="AO13" s="55"/>
      <c r="AP13" s="626"/>
      <c r="AQ13" s="118" t="s">
        <v>29</v>
      </c>
      <c r="AR13" s="98">
        <v>0</v>
      </c>
      <c r="AS13" s="98">
        <v>0</v>
      </c>
      <c r="AT13" s="98">
        <v>0</v>
      </c>
      <c r="AU13" s="98">
        <v>0</v>
      </c>
      <c r="AV13" s="98">
        <v>0</v>
      </c>
      <c r="AW13" s="98">
        <v>0</v>
      </c>
      <c r="AX13" s="98">
        <v>0</v>
      </c>
      <c r="AY13" s="98">
        <v>1242</v>
      </c>
      <c r="AZ13" s="98">
        <v>0</v>
      </c>
      <c r="BA13" s="98">
        <v>0</v>
      </c>
      <c r="BB13" s="98">
        <f>SUM(AR13:BA13)</f>
        <v>1242</v>
      </c>
      <c r="BC13" s="55"/>
      <c r="BD13" s="626"/>
      <c r="BE13" s="118" t="s">
        <v>29</v>
      </c>
      <c r="BF13" s="98">
        <v>0</v>
      </c>
      <c r="BG13" s="98">
        <v>0</v>
      </c>
      <c r="BH13" s="98">
        <v>0</v>
      </c>
      <c r="BI13" s="98">
        <v>0</v>
      </c>
      <c r="BJ13" s="98">
        <v>0</v>
      </c>
      <c r="BK13" s="98">
        <v>0</v>
      </c>
      <c r="BL13" s="98">
        <v>1011.9</v>
      </c>
      <c r="BM13" s="98">
        <v>843.8</v>
      </c>
      <c r="BN13" s="98">
        <v>0</v>
      </c>
      <c r="BO13" s="98">
        <v>0</v>
      </c>
      <c r="BP13" s="98">
        <f>SUM(BF13:BO13)</f>
        <v>1855.6999999999998</v>
      </c>
      <c r="BQ13" s="26"/>
      <c r="BR13" s="679"/>
      <c r="BS13" s="679"/>
      <c r="BT13" s="679"/>
      <c r="BU13" s="679"/>
      <c r="BV13" s="679"/>
      <c r="BW13" s="679"/>
      <c r="BX13" s="679"/>
    </row>
    <row r="14" spans="1:77" ht="21.6" customHeight="1" x14ac:dyDescent="0.2">
      <c r="A14" s="623"/>
      <c r="B14" s="236" t="s">
        <v>86</v>
      </c>
      <c r="C14" s="109">
        <f>C15</f>
        <v>11383555</v>
      </c>
      <c r="D14" s="109">
        <f>D15</f>
        <v>77369074</v>
      </c>
      <c r="E14" s="109">
        <f>E15</f>
        <v>88752629</v>
      </c>
      <c r="F14" s="109">
        <f>F15</f>
        <v>88752629</v>
      </c>
      <c r="G14" s="11"/>
      <c r="H14" s="626"/>
      <c r="I14" s="236" t="s">
        <v>86</v>
      </c>
      <c r="J14" s="109">
        <f>J15</f>
        <v>0</v>
      </c>
      <c r="K14" s="109">
        <f>K15</f>
        <v>18</v>
      </c>
      <c r="L14" s="55"/>
      <c r="M14" s="626"/>
      <c r="N14" s="236" t="s">
        <v>86</v>
      </c>
      <c r="O14" s="93">
        <f t="shared" ref="O14:T14" si="15">O15</f>
        <v>0</v>
      </c>
      <c r="P14" s="93">
        <f t="shared" si="15"/>
        <v>0</v>
      </c>
      <c r="Q14" s="93">
        <f t="shared" si="15"/>
        <v>0</v>
      </c>
      <c r="R14" s="93">
        <f t="shared" si="15"/>
        <v>0</v>
      </c>
      <c r="S14" s="93">
        <f t="shared" si="15"/>
        <v>0.79659999999999997</v>
      </c>
      <c r="T14" s="93">
        <f t="shared" si="15"/>
        <v>0.79659999999999997</v>
      </c>
      <c r="U14" s="55"/>
      <c r="V14" s="626"/>
      <c r="W14" s="236" t="s">
        <v>86</v>
      </c>
      <c r="X14" s="93">
        <f t="shared" ref="X14:AD14" si="16">X15</f>
        <v>506</v>
      </c>
      <c r="Y14" s="93">
        <f t="shared" si="16"/>
        <v>0</v>
      </c>
      <c r="Z14" s="93">
        <f t="shared" si="16"/>
        <v>0</v>
      </c>
      <c r="AA14" s="93">
        <f t="shared" si="16"/>
        <v>297.10000000000002</v>
      </c>
      <c r="AB14" s="93">
        <f t="shared" si="16"/>
        <v>0</v>
      </c>
      <c r="AC14" s="93">
        <f t="shared" si="16"/>
        <v>0</v>
      </c>
      <c r="AD14" s="93">
        <f t="shared" si="16"/>
        <v>803.1</v>
      </c>
      <c r="AE14" s="55"/>
      <c r="AF14" s="626"/>
      <c r="AG14" s="236" t="s">
        <v>86</v>
      </c>
      <c r="AH14" s="93">
        <f t="shared" ref="AH14:AN14" si="17">AH15</f>
        <v>374.6</v>
      </c>
      <c r="AI14" s="93">
        <f t="shared" si="17"/>
        <v>0</v>
      </c>
      <c r="AJ14" s="93">
        <f t="shared" si="17"/>
        <v>0</v>
      </c>
      <c r="AK14" s="93">
        <f t="shared" si="17"/>
        <v>8668.2999999999993</v>
      </c>
      <c r="AL14" s="93">
        <f t="shared" si="17"/>
        <v>0</v>
      </c>
      <c r="AM14" s="93">
        <f t="shared" si="17"/>
        <v>0</v>
      </c>
      <c r="AN14" s="93">
        <f t="shared" si="17"/>
        <v>9042.9</v>
      </c>
      <c r="AO14" s="55"/>
      <c r="AP14" s="626"/>
      <c r="AQ14" s="236" t="s">
        <v>86</v>
      </c>
      <c r="AR14" s="93">
        <f t="shared" ref="AR14:BB14" si="18">AR15</f>
        <v>0</v>
      </c>
      <c r="AS14" s="93">
        <f t="shared" si="18"/>
        <v>0</v>
      </c>
      <c r="AT14" s="93">
        <f t="shared" si="18"/>
        <v>0</v>
      </c>
      <c r="AU14" s="93">
        <f t="shared" si="18"/>
        <v>0</v>
      </c>
      <c r="AV14" s="93">
        <f t="shared" si="18"/>
        <v>0</v>
      </c>
      <c r="AW14" s="93">
        <f t="shared" si="18"/>
        <v>0</v>
      </c>
      <c r="AX14" s="93">
        <f t="shared" si="18"/>
        <v>0</v>
      </c>
      <c r="AY14" s="93">
        <f t="shared" si="18"/>
        <v>1336.8</v>
      </c>
      <c r="AZ14" s="93">
        <f t="shared" si="18"/>
        <v>140.69999999999999</v>
      </c>
      <c r="BA14" s="93">
        <f t="shared" si="18"/>
        <v>0</v>
      </c>
      <c r="BB14" s="93">
        <f t="shared" si="18"/>
        <v>1477.5</v>
      </c>
      <c r="BC14" s="55"/>
      <c r="BD14" s="626"/>
      <c r="BE14" s="236" t="s">
        <v>86</v>
      </c>
      <c r="BF14" s="93">
        <f t="shared" ref="BF14:BP14" si="19">BF15</f>
        <v>0</v>
      </c>
      <c r="BG14" s="93">
        <f t="shared" si="19"/>
        <v>0</v>
      </c>
      <c r="BH14" s="93">
        <f t="shared" si="19"/>
        <v>0</v>
      </c>
      <c r="BI14" s="93">
        <f t="shared" si="19"/>
        <v>0</v>
      </c>
      <c r="BJ14" s="93">
        <f t="shared" si="19"/>
        <v>0</v>
      </c>
      <c r="BK14" s="93">
        <f t="shared" si="19"/>
        <v>0</v>
      </c>
      <c r="BL14" s="93">
        <f t="shared" si="19"/>
        <v>1580</v>
      </c>
      <c r="BM14" s="93">
        <f t="shared" si="19"/>
        <v>0</v>
      </c>
      <c r="BN14" s="93">
        <f t="shared" si="19"/>
        <v>531.5</v>
      </c>
      <c r="BO14" s="93">
        <f t="shared" si="19"/>
        <v>154.4</v>
      </c>
      <c r="BP14" s="93">
        <f t="shared" si="19"/>
        <v>2265.9</v>
      </c>
      <c r="BQ14" s="26"/>
      <c r="BR14" s="679"/>
      <c r="BS14" s="679"/>
      <c r="BT14" s="679"/>
      <c r="BU14" s="679"/>
      <c r="BV14" s="679"/>
      <c r="BW14" s="679"/>
      <c r="BX14" s="679"/>
    </row>
    <row r="15" spans="1:77" ht="21.6" customHeight="1" x14ac:dyDescent="0.2">
      <c r="A15" s="623"/>
      <c r="B15" s="97" t="s">
        <v>25</v>
      </c>
      <c r="C15" s="53">
        <v>11383555</v>
      </c>
      <c r="D15" s="53">
        <v>77369074</v>
      </c>
      <c r="E15" s="53">
        <v>88752629</v>
      </c>
      <c r="F15" s="53">
        <v>88752629</v>
      </c>
      <c r="G15" s="11"/>
      <c r="H15" s="622"/>
      <c r="I15" s="97" t="s">
        <v>25</v>
      </c>
      <c r="J15" s="53">
        <v>0</v>
      </c>
      <c r="K15" s="53">
        <v>18</v>
      </c>
      <c r="L15" s="55"/>
      <c r="M15" s="622"/>
      <c r="N15" s="97" t="s">
        <v>25</v>
      </c>
      <c r="O15" s="98">
        <v>0</v>
      </c>
      <c r="P15" s="98">
        <v>0</v>
      </c>
      <c r="Q15" s="98">
        <v>0</v>
      </c>
      <c r="R15" s="98">
        <v>0</v>
      </c>
      <c r="S15" s="98">
        <v>0.79659999999999997</v>
      </c>
      <c r="T15" s="98">
        <v>0.79659999999999997</v>
      </c>
      <c r="U15" s="55"/>
      <c r="V15" s="622"/>
      <c r="W15" s="97" t="s">
        <v>25</v>
      </c>
      <c r="X15" s="98">
        <v>506</v>
      </c>
      <c r="Y15" s="98">
        <v>0</v>
      </c>
      <c r="Z15" s="98">
        <v>0</v>
      </c>
      <c r="AA15" s="98">
        <v>297.10000000000002</v>
      </c>
      <c r="AB15" s="98">
        <v>0</v>
      </c>
      <c r="AC15" s="98">
        <v>0</v>
      </c>
      <c r="AD15" s="98">
        <f>SUM(X15:AC15)</f>
        <v>803.1</v>
      </c>
      <c r="AE15" s="55"/>
      <c r="AF15" s="622"/>
      <c r="AG15" s="97" t="s">
        <v>25</v>
      </c>
      <c r="AH15" s="98">
        <v>374.6</v>
      </c>
      <c r="AI15" s="98">
        <v>0</v>
      </c>
      <c r="AJ15" s="98">
        <v>0</v>
      </c>
      <c r="AK15" s="98">
        <v>8668.2999999999993</v>
      </c>
      <c r="AL15" s="98">
        <v>0</v>
      </c>
      <c r="AM15" s="98">
        <v>0</v>
      </c>
      <c r="AN15" s="98">
        <f>SUM(AH15:AM15)</f>
        <v>9042.9</v>
      </c>
      <c r="AO15" s="55"/>
      <c r="AP15" s="622"/>
      <c r="AQ15" s="97" t="s">
        <v>25</v>
      </c>
      <c r="AR15" s="98">
        <v>0</v>
      </c>
      <c r="AS15" s="98">
        <v>0</v>
      </c>
      <c r="AT15" s="98">
        <v>0</v>
      </c>
      <c r="AU15" s="98">
        <v>0</v>
      </c>
      <c r="AV15" s="98">
        <v>0</v>
      </c>
      <c r="AW15" s="98">
        <v>0</v>
      </c>
      <c r="AX15" s="98">
        <v>0</v>
      </c>
      <c r="AY15" s="98">
        <v>1336.8</v>
      </c>
      <c r="AZ15" s="98">
        <v>140.69999999999999</v>
      </c>
      <c r="BA15" s="98">
        <v>0</v>
      </c>
      <c r="BB15" s="98">
        <f>SUM(AR15:BA15)</f>
        <v>1477.5</v>
      </c>
      <c r="BC15" s="55"/>
      <c r="BD15" s="622"/>
      <c r="BE15" s="97" t="s">
        <v>25</v>
      </c>
      <c r="BF15" s="98">
        <v>0</v>
      </c>
      <c r="BG15" s="98">
        <v>0</v>
      </c>
      <c r="BH15" s="98">
        <v>0</v>
      </c>
      <c r="BI15" s="98">
        <v>0</v>
      </c>
      <c r="BJ15" s="98">
        <v>0</v>
      </c>
      <c r="BK15" s="98">
        <v>0</v>
      </c>
      <c r="BL15" s="98">
        <v>1580</v>
      </c>
      <c r="BM15" s="98">
        <v>0</v>
      </c>
      <c r="BN15" s="98">
        <v>531.5</v>
      </c>
      <c r="BO15" s="98">
        <v>154.4</v>
      </c>
      <c r="BP15" s="98">
        <f>SUM(BF15:BO15)</f>
        <v>2265.9</v>
      </c>
      <c r="BQ15" s="26"/>
    </row>
    <row r="16" spans="1:77" ht="21.6" customHeight="1" x14ac:dyDescent="0.2">
      <c r="A16" s="623" t="s">
        <v>166</v>
      </c>
      <c r="B16" s="236" t="s">
        <v>89</v>
      </c>
      <c r="C16" s="109">
        <f>C17</f>
        <v>0</v>
      </c>
      <c r="D16" s="109">
        <f>D17</f>
        <v>6869</v>
      </c>
      <c r="E16" s="109">
        <f>E17</f>
        <v>6869</v>
      </c>
      <c r="F16" s="109">
        <f>F17</f>
        <v>137390</v>
      </c>
      <c r="G16" s="11"/>
      <c r="H16" s="625" t="s">
        <v>166</v>
      </c>
      <c r="I16" s="236" t="s">
        <v>89</v>
      </c>
      <c r="J16" s="109">
        <f>J17</f>
        <v>0</v>
      </c>
      <c r="K16" s="109">
        <f>K17</f>
        <v>0</v>
      </c>
      <c r="L16" s="55"/>
      <c r="M16" s="623" t="s">
        <v>166</v>
      </c>
      <c r="N16" s="236" t="s">
        <v>89</v>
      </c>
      <c r="O16" s="93">
        <f t="shared" ref="O16:T16" si="20">O17</f>
        <v>0</v>
      </c>
      <c r="P16" s="93">
        <f t="shared" si="20"/>
        <v>0</v>
      </c>
      <c r="Q16" s="93">
        <f t="shared" si="20"/>
        <v>0.41599999999999998</v>
      </c>
      <c r="R16" s="93">
        <f t="shared" si="20"/>
        <v>0</v>
      </c>
      <c r="S16" s="93">
        <f t="shared" si="20"/>
        <v>0.46</v>
      </c>
      <c r="T16" s="93">
        <f t="shared" si="20"/>
        <v>0.876</v>
      </c>
      <c r="U16" s="55"/>
      <c r="V16" s="625" t="s">
        <v>166</v>
      </c>
      <c r="W16" s="236" t="s">
        <v>89</v>
      </c>
      <c r="X16" s="93">
        <f t="shared" ref="X16:AD16" si="21">X17</f>
        <v>0</v>
      </c>
      <c r="Y16" s="93">
        <f t="shared" si="21"/>
        <v>0</v>
      </c>
      <c r="Z16" s="93">
        <f t="shared" si="21"/>
        <v>0</v>
      </c>
      <c r="AA16" s="93">
        <f t="shared" si="21"/>
        <v>0</v>
      </c>
      <c r="AB16" s="93">
        <f t="shared" si="21"/>
        <v>0</v>
      </c>
      <c r="AC16" s="93">
        <f t="shared" si="21"/>
        <v>0</v>
      </c>
      <c r="AD16" s="93">
        <f t="shared" si="21"/>
        <v>0</v>
      </c>
      <c r="AE16" s="55"/>
      <c r="AF16" s="625" t="s">
        <v>166</v>
      </c>
      <c r="AG16" s="236" t="s">
        <v>89</v>
      </c>
      <c r="AH16" s="93">
        <f t="shared" ref="AH16:AN16" si="22">AH17</f>
        <v>0</v>
      </c>
      <c r="AI16" s="93">
        <f t="shared" si="22"/>
        <v>0</v>
      </c>
      <c r="AJ16" s="93">
        <f t="shared" si="22"/>
        <v>19.934999999999999</v>
      </c>
      <c r="AK16" s="93">
        <f t="shared" si="22"/>
        <v>0</v>
      </c>
      <c r="AL16" s="93">
        <f t="shared" si="22"/>
        <v>0</v>
      </c>
      <c r="AM16" s="93">
        <f t="shared" si="22"/>
        <v>0</v>
      </c>
      <c r="AN16" s="93">
        <f t="shared" si="22"/>
        <v>19.934999999999999</v>
      </c>
      <c r="AO16" s="55"/>
      <c r="AP16" s="625" t="s">
        <v>166</v>
      </c>
      <c r="AQ16" s="236" t="s">
        <v>89</v>
      </c>
      <c r="AR16" s="93">
        <f t="shared" ref="AR16:BB16" si="23">AR17</f>
        <v>0</v>
      </c>
      <c r="AS16" s="93">
        <f t="shared" si="23"/>
        <v>314.98</v>
      </c>
      <c r="AT16" s="93">
        <f t="shared" si="23"/>
        <v>0</v>
      </c>
      <c r="AU16" s="93">
        <f t="shared" si="23"/>
        <v>0.68</v>
      </c>
      <c r="AV16" s="93">
        <f t="shared" si="23"/>
        <v>0</v>
      </c>
      <c r="AW16" s="93">
        <f t="shared" si="23"/>
        <v>0</v>
      </c>
      <c r="AX16" s="93">
        <f t="shared" si="23"/>
        <v>0</v>
      </c>
      <c r="AY16" s="93">
        <f t="shared" si="23"/>
        <v>0</v>
      </c>
      <c r="AZ16" s="93">
        <f t="shared" si="23"/>
        <v>0</v>
      </c>
      <c r="BA16" s="93">
        <f t="shared" si="23"/>
        <v>0</v>
      </c>
      <c r="BB16" s="93">
        <f t="shared" si="23"/>
        <v>315.66000000000003</v>
      </c>
      <c r="BC16" s="55"/>
      <c r="BD16" s="625" t="s">
        <v>166</v>
      </c>
      <c r="BE16" s="236" t="s">
        <v>89</v>
      </c>
      <c r="BF16" s="93">
        <f t="shared" ref="BF16:BP16" si="24">BF17</f>
        <v>0</v>
      </c>
      <c r="BG16" s="93">
        <f t="shared" si="24"/>
        <v>0</v>
      </c>
      <c r="BH16" s="93">
        <f t="shared" si="24"/>
        <v>0</v>
      </c>
      <c r="BI16" s="93">
        <f t="shared" si="24"/>
        <v>0</v>
      </c>
      <c r="BJ16" s="93">
        <f t="shared" si="24"/>
        <v>0</v>
      </c>
      <c r="BK16" s="93">
        <f t="shared" si="24"/>
        <v>0</v>
      </c>
      <c r="BL16" s="93">
        <f t="shared" si="24"/>
        <v>362.68</v>
      </c>
      <c r="BM16" s="93">
        <f t="shared" si="24"/>
        <v>441.755</v>
      </c>
      <c r="BN16" s="93">
        <f t="shared" si="24"/>
        <v>4.0199999999999996</v>
      </c>
      <c r="BO16" s="93">
        <f t="shared" si="24"/>
        <v>0</v>
      </c>
      <c r="BP16" s="93">
        <f t="shared" si="24"/>
        <v>808.45499999999993</v>
      </c>
      <c r="BQ16" s="26"/>
      <c r="BR16" s="7"/>
    </row>
    <row r="17" spans="1:69" ht="21.6" customHeight="1" x14ac:dyDescent="0.2">
      <c r="A17" s="623"/>
      <c r="B17" s="97" t="s">
        <v>11</v>
      </c>
      <c r="C17" s="53">
        <v>0</v>
      </c>
      <c r="D17" s="53">
        <v>6869</v>
      </c>
      <c r="E17" s="53">
        <v>6869</v>
      </c>
      <c r="F17" s="53">
        <v>137390</v>
      </c>
      <c r="G17" s="11"/>
      <c r="H17" s="626"/>
      <c r="I17" s="97" t="s">
        <v>11</v>
      </c>
      <c r="J17" s="53">
        <v>0</v>
      </c>
      <c r="K17" s="53">
        <v>0</v>
      </c>
      <c r="L17" s="55"/>
      <c r="M17" s="623"/>
      <c r="N17" s="97" t="s">
        <v>11</v>
      </c>
      <c r="O17" s="98">
        <v>0</v>
      </c>
      <c r="P17" s="98">
        <v>0</v>
      </c>
      <c r="Q17" s="98">
        <v>0.41599999999999998</v>
      </c>
      <c r="R17" s="98">
        <v>0</v>
      </c>
      <c r="S17" s="98">
        <v>0.46</v>
      </c>
      <c r="T17" s="98">
        <v>0.876</v>
      </c>
      <c r="U17" s="55"/>
      <c r="V17" s="626"/>
      <c r="W17" s="97" t="s">
        <v>11</v>
      </c>
      <c r="X17" s="98">
        <v>0</v>
      </c>
      <c r="Y17" s="98">
        <v>0</v>
      </c>
      <c r="Z17" s="98">
        <v>0</v>
      </c>
      <c r="AA17" s="98">
        <v>0</v>
      </c>
      <c r="AB17" s="98">
        <v>0</v>
      </c>
      <c r="AC17" s="98">
        <v>0</v>
      </c>
      <c r="AD17" s="98">
        <f>SUM(X17:AC17)</f>
        <v>0</v>
      </c>
      <c r="AE17" s="55"/>
      <c r="AF17" s="626"/>
      <c r="AG17" s="97" t="s">
        <v>11</v>
      </c>
      <c r="AH17" s="98">
        <v>0</v>
      </c>
      <c r="AI17" s="98">
        <v>0</v>
      </c>
      <c r="AJ17" s="98">
        <v>19.934999999999999</v>
      </c>
      <c r="AK17" s="98">
        <v>0</v>
      </c>
      <c r="AL17" s="98">
        <v>0</v>
      </c>
      <c r="AM17" s="98">
        <v>0</v>
      </c>
      <c r="AN17" s="98">
        <f>SUM(AH17:AM17)</f>
        <v>19.934999999999999</v>
      </c>
      <c r="AO17" s="55"/>
      <c r="AP17" s="626"/>
      <c r="AQ17" s="97" t="s">
        <v>11</v>
      </c>
      <c r="AR17" s="98">
        <v>0</v>
      </c>
      <c r="AS17" s="98">
        <v>314.98</v>
      </c>
      <c r="AT17" s="98">
        <v>0</v>
      </c>
      <c r="AU17" s="98">
        <v>0.68</v>
      </c>
      <c r="AV17" s="98">
        <v>0</v>
      </c>
      <c r="AW17" s="98">
        <v>0</v>
      </c>
      <c r="AX17" s="98">
        <v>0</v>
      </c>
      <c r="AY17" s="98">
        <v>0</v>
      </c>
      <c r="AZ17" s="98">
        <v>0</v>
      </c>
      <c r="BA17" s="98">
        <v>0</v>
      </c>
      <c r="BB17" s="98">
        <f>SUM(AR17:BA17)</f>
        <v>315.66000000000003</v>
      </c>
      <c r="BC17" s="55"/>
      <c r="BD17" s="626"/>
      <c r="BE17" s="97" t="s">
        <v>11</v>
      </c>
      <c r="BF17" s="98">
        <v>0</v>
      </c>
      <c r="BG17" s="98">
        <v>0</v>
      </c>
      <c r="BH17" s="98">
        <v>0</v>
      </c>
      <c r="BI17" s="98">
        <v>0</v>
      </c>
      <c r="BJ17" s="98">
        <v>0</v>
      </c>
      <c r="BK17" s="98">
        <v>0</v>
      </c>
      <c r="BL17" s="98">
        <v>362.68</v>
      </c>
      <c r="BM17" s="98">
        <v>441.755</v>
      </c>
      <c r="BN17" s="98">
        <v>4.0199999999999996</v>
      </c>
      <c r="BO17" s="98">
        <v>0</v>
      </c>
      <c r="BP17" s="98">
        <f>SUM(BF17:BO17)</f>
        <v>808.45499999999993</v>
      </c>
      <c r="BQ17" s="26"/>
    </row>
    <row r="18" spans="1:69" ht="21.6" customHeight="1" x14ac:dyDescent="0.2">
      <c r="A18" s="623"/>
      <c r="B18" s="236" t="s">
        <v>94</v>
      </c>
      <c r="C18" s="109">
        <f>C19</f>
        <v>0</v>
      </c>
      <c r="D18" s="109">
        <f>D19</f>
        <v>35274254</v>
      </c>
      <c r="E18" s="109">
        <f>E19</f>
        <v>35274254</v>
      </c>
      <c r="F18" s="109">
        <f>F19</f>
        <v>35274254</v>
      </c>
      <c r="G18" s="11"/>
      <c r="H18" s="626"/>
      <c r="I18" s="236" t="s">
        <v>94</v>
      </c>
      <c r="J18" s="109">
        <f>J19</f>
        <v>19.239999999999998</v>
      </c>
      <c r="K18" s="109">
        <f>K19</f>
        <v>0</v>
      </c>
      <c r="L18" s="55"/>
      <c r="M18" s="623"/>
      <c r="N18" s="236" t="s">
        <v>94</v>
      </c>
      <c r="O18" s="93">
        <f t="shared" ref="O18:T18" si="25">O19</f>
        <v>4.459E-4</v>
      </c>
      <c r="P18" s="93">
        <f t="shared" si="25"/>
        <v>0</v>
      </c>
      <c r="Q18" s="93">
        <f t="shared" si="25"/>
        <v>18</v>
      </c>
      <c r="R18" s="93">
        <f t="shared" si="25"/>
        <v>0</v>
      </c>
      <c r="S18" s="93">
        <f t="shared" si="25"/>
        <v>5.0999999999999997E-2</v>
      </c>
      <c r="T18" s="93">
        <f t="shared" si="25"/>
        <v>18.051445900000001</v>
      </c>
      <c r="U18" s="55"/>
      <c r="V18" s="626"/>
      <c r="W18" s="236" t="s">
        <v>94</v>
      </c>
      <c r="X18" s="93">
        <f t="shared" ref="X18:AD18" si="26">X19</f>
        <v>0</v>
      </c>
      <c r="Y18" s="93">
        <f t="shared" si="26"/>
        <v>0</v>
      </c>
      <c r="Z18" s="93">
        <f t="shared" si="26"/>
        <v>0</v>
      </c>
      <c r="AA18" s="93">
        <f t="shared" si="26"/>
        <v>443.957967</v>
      </c>
      <c r="AB18" s="93">
        <f t="shared" si="26"/>
        <v>0</v>
      </c>
      <c r="AC18" s="93">
        <f t="shared" si="26"/>
        <v>0</v>
      </c>
      <c r="AD18" s="93">
        <f t="shared" si="26"/>
        <v>443.957967</v>
      </c>
      <c r="AE18" s="55"/>
      <c r="AF18" s="626"/>
      <c r="AG18" s="236" t="s">
        <v>94</v>
      </c>
      <c r="AH18" s="93">
        <f t="shared" ref="AH18:AN18" si="27">AH19</f>
        <v>0</v>
      </c>
      <c r="AI18" s="93">
        <f t="shared" si="27"/>
        <v>0</v>
      </c>
      <c r="AJ18" s="93">
        <f t="shared" si="27"/>
        <v>13.29523</v>
      </c>
      <c r="AK18" s="93">
        <f t="shared" si="27"/>
        <v>525.68142999999998</v>
      </c>
      <c r="AL18" s="93">
        <f t="shared" si="27"/>
        <v>0</v>
      </c>
      <c r="AM18" s="93">
        <f t="shared" si="27"/>
        <v>0</v>
      </c>
      <c r="AN18" s="93">
        <f t="shared" si="27"/>
        <v>538.97665999999992</v>
      </c>
      <c r="AO18" s="55"/>
      <c r="AP18" s="626"/>
      <c r="AQ18" s="236" t="s">
        <v>94</v>
      </c>
      <c r="AR18" s="93">
        <f t="shared" ref="AR18:BB18" si="28">AR19</f>
        <v>0</v>
      </c>
      <c r="AS18" s="93">
        <f t="shared" si="28"/>
        <v>0</v>
      </c>
      <c r="AT18" s="93">
        <f t="shared" si="28"/>
        <v>408.59705382499999</v>
      </c>
      <c r="AU18" s="93">
        <f t="shared" si="28"/>
        <v>94.432100000000005</v>
      </c>
      <c r="AV18" s="93">
        <f t="shared" si="28"/>
        <v>0</v>
      </c>
      <c r="AW18" s="93">
        <f t="shared" si="28"/>
        <v>0</v>
      </c>
      <c r="AX18" s="93">
        <f t="shared" si="28"/>
        <v>62.718400000000003</v>
      </c>
      <c r="AY18" s="93">
        <f t="shared" si="28"/>
        <v>0</v>
      </c>
      <c r="AZ18" s="93">
        <f t="shared" si="28"/>
        <v>0</v>
      </c>
      <c r="BA18" s="93">
        <f t="shared" si="28"/>
        <v>0</v>
      </c>
      <c r="BB18" s="93">
        <f t="shared" si="28"/>
        <v>565.74755382499995</v>
      </c>
      <c r="BC18" s="55"/>
      <c r="BD18" s="626"/>
      <c r="BE18" s="236" t="s">
        <v>94</v>
      </c>
      <c r="BF18" s="93">
        <f t="shared" ref="BF18:BP18" si="29">BF19</f>
        <v>0</v>
      </c>
      <c r="BG18" s="93">
        <f t="shared" si="29"/>
        <v>0</v>
      </c>
      <c r="BH18" s="93">
        <f t="shared" si="29"/>
        <v>0</v>
      </c>
      <c r="BI18" s="93">
        <f t="shared" si="29"/>
        <v>0</v>
      </c>
      <c r="BJ18" s="93">
        <f t="shared" si="29"/>
        <v>0</v>
      </c>
      <c r="BK18" s="93">
        <f t="shared" si="29"/>
        <v>0</v>
      </c>
      <c r="BL18" s="93">
        <f t="shared" si="29"/>
        <v>3442.92114825</v>
      </c>
      <c r="BM18" s="93">
        <f t="shared" si="29"/>
        <v>1.5</v>
      </c>
      <c r="BN18" s="93">
        <f t="shared" si="29"/>
        <v>0</v>
      </c>
      <c r="BO18" s="93">
        <f t="shared" si="29"/>
        <v>0</v>
      </c>
      <c r="BP18" s="93">
        <f t="shared" si="29"/>
        <v>3444.42114825</v>
      </c>
      <c r="BQ18" s="26"/>
    </row>
    <row r="19" spans="1:69" ht="21.6" customHeight="1" x14ac:dyDescent="0.2">
      <c r="A19" s="623"/>
      <c r="B19" s="97" t="s">
        <v>167</v>
      </c>
      <c r="C19" s="53">
        <v>0</v>
      </c>
      <c r="D19" s="53">
        <v>35274254</v>
      </c>
      <c r="E19" s="53">
        <v>35274254</v>
      </c>
      <c r="F19" s="53">
        <v>35274254</v>
      </c>
      <c r="G19" s="11"/>
      <c r="H19" s="626"/>
      <c r="I19" s="97" t="s">
        <v>167</v>
      </c>
      <c r="J19" s="53">
        <v>19.239999999999998</v>
      </c>
      <c r="K19" s="53">
        <v>0</v>
      </c>
      <c r="L19" s="55"/>
      <c r="M19" s="623"/>
      <c r="N19" s="97" t="s">
        <v>167</v>
      </c>
      <c r="O19" s="98">
        <v>4.459E-4</v>
      </c>
      <c r="P19" s="98">
        <v>0</v>
      </c>
      <c r="Q19" s="98">
        <v>18</v>
      </c>
      <c r="R19" s="98">
        <v>0</v>
      </c>
      <c r="S19" s="98">
        <v>5.0999999999999997E-2</v>
      </c>
      <c r="T19" s="98">
        <v>18.051445900000001</v>
      </c>
      <c r="U19" s="55"/>
      <c r="V19" s="626"/>
      <c r="W19" s="97" t="s">
        <v>167</v>
      </c>
      <c r="X19" s="98">
        <v>0</v>
      </c>
      <c r="Y19" s="98">
        <v>0</v>
      </c>
      <c r="Z19" s="98">
        <v>0</v>
      </c>
      <c r="AA19" s="98">
        <v>443.957967</v>
      </c>
      <c r="AB19" s="98">
        <v>0</v>
      </c>
      <c r="AC19" s="98">
        <v>0</v>
      </c>
      <c r="AD19" s="98">
        <f>SUM(X19:AC19)</f>
        <v>443.957967</v>
      </c>
      <c r="AE19" s="55"/>
      <c r="AF19" s="626"/>
      <c r="AG19" s="97" t="s">
        <v>167</v>
      </c>
      <c r="AH19" s="98">
        <v>0</v>
      </c>
      <c r="AI19" s="98">
        <v>0</v>
      </c>
      <c r="AJ19" s="98">
        <v>13.29523</v>
      </c>
      <c r="AK19" s="98">
        <v>525.68142999999998</v>
      </c>
      <c r="AL19" s="98">
        <v>0</v>
      </c>
      <c r="AM19" s="98">
        <v>0</v>
      </c>
      <c r="AN19" s="98">
        <f>SUM(AH19:AM19)</f>
        <v>538.97665999999992</v>
      </c>
      <c r="AO19" s="55"/>
      <c r="AP19" s="626"/>
      <c r="AQ19" s="97" t="s">
        <v>167</v>
      </c>
      <c r="AR19" s="98">
        <v>0</v>
      </c>
      <c r="AS19" s="98">
        <v>0</v>
      </c>
      <c r="AT19" s="98">
        <v>408.59705382499999</v>
      </c>
      <c r="AU19" s="98">
        <v>94.432100000000005</v>
      </c>
      <c r="AV19" s="98">
        <v>0</v>
      </c>
      <c r="AW19" s="98">
        <v>0</v>
      </c>
      <c r="AX19" s="98">
        <v>62.718400000000003</v>
      </c>
      <c r="AY19" s="98">
        <v>0</v>
      </c>
      <c r="AZ19" s="98">
        <v>0</v>
      </c>
      <c r="BA19" s="98">
        <v>0</v>
      </c>
      <c r="BB19" s="98">
        <f>SUM(AR19:BA19)</f>
        <v>565.74755382499995</v>
      </c>
      <c r="BC19" s="55"/>
      <c r="BD19" s="626"/>
      <c r="BE19" s="97" t="s">
        <v>167</v>
      </c>
      <c r="BF19" s="98">
        <v>0</v>
      </c>
      <c r="BG19" s="98">
        <v>0</v>
      </c>
      <c r="BH19" s="98">
        <v>0</v>
      </c>
      <c r="BI19" s="98">
        <v>0</v>
      </c>
      <c r="BJ19" s="98">
        <v>0</v>
      </c>
      <c r="BK19" s="98">
        <v>0</v>
      </c>
      <c r="BL19" s="98">
        <v>3442.92114825</v>
      </c>
      <c r="BM19" s="98">
        <v>1.5</v>
      </c>
      <c r="BN19" s="98">
        <v>0</v>
      </c>
      <c r="BO19" s="98">
        <v>0</v>
      </c>
      <c r="BP19" s="98">
        <f>SUM(BF19:BO19)</f>
        <v>3444.42114825</v>
      </c>
      <c r="BQ19" s="26"/>
    </row>
    <row r="20" spans="1:69" ht="21.6" customHeight="1" x14ac:dyDescent="0.2">
      <c r="A20" s="623"/>
      <c r="B20" s="236" t="s">
        <v>97</v>
      </c>
      <c r="C20" s="109">
        <f>C21</f>
        <v>22543961.6809096</v>
      </c>
      <c r="D20" s="109">
        <f>D21</f>
        <v>11452209.212032299</v>
      </c>
      <c r="E20" s="109">
        <f>E21</f>
        <v>33996170.8929419</v>
      </c>
      <c r="F20" s="109">
        <f>F21</f>
        <v>33996171</v>
      </c>
      <c r="G20" s="11"/>
      <c r="H20" s="626"/>
      <c r="I20" s="236" t="s">
        <v>97</v>
      </c>
      <c r="J20" s="94" t="str">
        <f>J21</f>
        <v>N/R</v>
      </c>
      <c r="K20" s="109">
        <f>K21</f>
        <v>0</v>
      </c>
      <c r="L20" s="55"/>
      <c r="M20" s="623"/>
      <c r="N20" s="236" t="s">
        <v>97</v>
      </c>
      <c r="O20" s="93">
        <f t="shared" ref="O20:T20" si="30">O21</f>
        <v>2.88</v>
      </c>
      <c r="P20" s="93">
        <f t="shared" si="30"/>
        <v>0</v>
      </c>
      <c r="Q20" s="93">
        <f t="shared" si="30"/>
        <v>0</v>
      </c>
      <c r="R20" s="93">
        <f t="shared" si="30"/>
        <v>0</v>
      </c>
      <c r="S20" s="93">
        <f t="shared" si="30"/>
        <v>0</v>
      </c>
      <c r="T20" s="93">
        <f t="shared" si="30"/>
        <v>2.88</v>
      </c>
      <c r="U20" s="55"/>
      <c r="V20" s="626"/>
      <c r="W20" s="236" t="s">
        <v>97</v>
      </c>
      <c r="X20" s="93">
        <f t="shared" ref="X20:AD20" si="31">X21</f>
        <v>187.34</v>
      </c>
      <c r="Y20" s="93">
        <f t="shared" si="31"/>
        <v>0</v>
      </c>
      <c r="Z20" s="93">
        <f t="shared" si="31"/>
        <v>0</v>
      </c>
      <c r="AA20" s="93">
        <f t="shared" si="31"/>
        <v>0</v>
      </c>
      <c r="AB20" s="93">
        <f t="shared" si="31"/>
        <v>0</v>
      </c>
      <c r="AC20" s="93">
        <f t="shared" si="31"/>
        <v>0</v>
      </c>
      <c r="AD20" s="93">
        <f t="shared" si="31"/>
        <v>187.34</v>
      </c>
      <c r="AE20" s="55"/>
      <c r="AF20" s="626"/>
      <c r="AG20" s="236" t="s">
        <v>97</v>
      </c>
      <c r="AH20" s="93">
        <f t="shared" ref="AH20:AN20" si="32">AH21</f>
        <v>0</v>
      </c>
      <c r="AI20" s="93">
        <f t="shared" si="32"/>
        <v>0</v>
      </c>
      <c r="AJ20" s="93">
        <f t="shared" si="32"/>
        <v>0</v>
      </c>
      <c r="AK20" s="93">
        <f t="shared" si="32"/>
        <v>1795.43</v>
      </c>
      <c r="AL20" s="93">
        <f t="shared" si="32"/>
        <v>0</v>
      </c>
      <c r="AM20" s="93">
        <f t="shared" si="32"/>
        <v>0</v>
      </c>
      <c r="AN20" s="93">
        <f t="shared" si="32"/>
        <v>1795.43</v>
      </c>
      <c r="AO20" s="55"/>
      <c r="AP20" s="626"/>
      <c r="AQ20" s="236" t="s">
        <v>97</v>
      </c>
      <c r="AR20" s="93">
        <f t="shared" ref="AR20:BB20" si="33">AR21</f>
        <v>0</v>
      </c>
      <c r="AS20" s="93">
        <f t="shared" si="33"/>
        <v>0</v>
      </c>
      <c r="AT20" s="93">
        <f t="shared" si="33"/>
        <v>0</v>
      </c>
      <c r="AU20" s="93">
        <f t="shared" si="33"/>
        <v>0</v>
      </c>
      <c r="AV20" s="93">
        <f t="shared" si="33"/>
        <v>0</v>
      </c>
      <c r="AW20" s="93">
        <f t="shared" si="33"/>
        <v>0</v>
      </c>
      <c r="AX20" s="93">
        <f t="shared" si="33"/>
        <v>0</v>
      </c>
      <c r="AY20" s="93">
        <f t="shared" si="33"/>
        <v>546.46</v>
      </c>
      <c r="AZ20" s="93">
        <f t="shared" si="33"/>
        <v>0</v>
      </c>
      <c r="BA20" s="93">
        <f t="shared" si="33"/>
        <v>0</v>
      </c>
      <c r="BB20" s="93">
        <f t="shared" si="33"/>
        <v>546.46</v>
      </c>
      <c r="BC20" s="55"/>
      <c r="BD20" s="626"/>
      <c r="BE20" s="236" t="s">
        <v>97</v>
      </c>
      <c r="BF20" s="93">
        <f t="shared" ref="BF20:BP20" si="34">BF21</f>
        <v>0</v>
      </c>
      <c r="BG20" s="93">
        <f t="shared" si="34"/>
        <v>0</v>
      </c>
      <c r="BH20" s="93">
        <f t="shared" si="34"/>
        <v>0</v>
      </c>
      <c r="BI20" s="93">
        <f t="shared" si="34"/>
        <v>0</v>
      </c>
      <c r="BJ20" s="93">
        <f t="shared" si="34"/>
        <v>0</v>
      </c>
      <c r="BK20" s="93">
        <f t="shared" si="34"/>
        <v>0</v>
      </c>
      <c r="BL20" s="93">
        <f t="shared" si="34"/>
        <v>0</v>
      </c>
      <c r="BM20" s="93">
        <f t="shared" si="34"/>
        <v>1174.6300000000001</v>
      </c>
      <c r="BN20" s="93">
        <f t="shared" si="34"/>
        <v>0</v>
      </c>
      <c r="BO20" s="93">
        <f t="shared" si="34"/>
        <v>0</v>
      </c>
      <c r="BP20" s="93">
        <f t="shared" si="34"/>
        <v>1174.6300000000001</v>
      </c>
      <c r="BQ20" s="26"/>
    </row>
    <row r="21" spans="1:69" ht="21.6" customHeight="1" x14ac:dyDescent="0.2">
      <c r="A21" s="623"/>
      <c r="B21" s="97" t="s">
        <v>20</v>
      </c>
      <c r="C21" s="53">
        <v>22543961.6809096</v>
      </c>
      <c r="D21" s="53">
        <v>11452209.212032299</v>
      </c>
      <c r="E21" s="53">
        <v>33996170.8929419</v>
      </c>
      <c r="F21" s="53">
        <v>33996171</v>
      </c>
      <c r="G21" s="11"/>
      <c r="H21" s="622"/>
      <c r="I21" s="97" t="s">
        <v>20</v>
      </c>
      <c r="J21" s="48" t="s">
        <v>93</v>
      </c>
      <c r="K21" s="53">
        <v>0</v>
      </c>
      <c r="L21" s="55"/>
      <c r="M21" s="623"/>
      <c r="N21" s="97" t="s">
        <v>20</v>
      </c>
      <c r="O21" s="98">
        <v>2.88</v>
      </c>
      <c r="P21" s="98">
        <v>0</v>
      </c>
      <c r="Q21" s="98">
        <v>0</v>
      </c>
      <c r="R21" s="98">
        <v>0</v>
      </c>
      <c r="S21" s="98">
        <v>0</v>
      </c>
      <c r="T21" s="98">
        <v>2.88</v>
      </c>
      <c r="U21" s="55"/>
      <c r="V21" s="622"/>
      <c r="W21" s="97" t="s">
        <v>20</v>
      </c>
      <c r="X21" s="98">
        <v>187.34</v>
      </c>
      <c r="Y21" s="98">
        <v>0</v>
      </c>
      <c r="Z21" s="98">
        <v>0</v>
      </c>
      <c r="AA21" s="98">
        <v>0</v>
      </c>
      <c r="AB21" s="98">
        <v>0</v>
      </c>
      <c r="AC21" s="98">
        <v>0</v>
      </c>
      <c r="AD21" s="98">
        <f>SUM(X21:AC21)</f>
        <v>187.34</v>
      </c>
      <c r="AE21" s="55"/>
      <c r="AF21" s="622"/>
      <c r="AG21" s="97" t="s">
        <v>20</v>
      </c>
      <c r="AH21" s="98">
        <v>0</v>
      </c>
      <c r="AI21" s="98">
        <v>0</v>
      </c>
      <c r="AJ21" s="98">
        <v>0</v>
      </c>
      <c r="AK21" s="98">
        <v>1795.43</v>
      </c>
      <c r="AL21" s="98">
        <v>0</v>
      </c>
      <c r="AM21" s="98">
        <v>0</v>
      </c>
      <c r="AN21" s="98">
        <f>SUM(AH21:AM21)</f>
        <v>1795.43</v>
      </c>
      <c r="AO21" s="55"/>
      <c r="AP21" s="622"/>
      <c r="AQ21" s="97" t="s">
        <v>20</v>
      </c>
      <c r="AR21" s="98">
        <v>0</v>
      </c>
      <c r="AS21" s="98">
        <v>0</v>
      </c>
      <c r="AT21" s="98">
        <v>0</v>
      </c>
      <c r="AU21" s="98">
        <v>0</v>
      </c>
      <c r="AV21" s="98">
        <v>0</v>
      </c>
      <c r="AW21" s="98">
        <v>0</v>
      </c>
      <c r="AX21" s="98">
        <v>0</v>
      </c>
      <c r="AY21" s="98">
        <v>546.46</v>
      </c>
      <c r="AZ21" s="98">
        <v>0</v>
      </c>
      <c r="BA21" s="98">
        <v>0</v>
      </c>
      <c r="BB21" s="98">
        <f>SUM(AR21:BA21)</f>
        <v>546.46</v>
      </c>
      <c r="BC21" s="55"/>
      <c r="BD21" s="622"/>
      <c r="BE21" s="97" t="s">
        <v>20</v>
      </c>
      <c r="BF21" s="98">
        <v>0</v>
      </c>
      <c r="BG21" s="98">
        <v>0</v>
      </c>
      <c r="BH21" s="98">
        <v>0</v>
      </c>
      <c r="BI21" s="98">
        <v>0</v>
      </c>
      <c r="BJ21" s="98">
        <v>0</v>
      </c>
      <c r="BK21" s="98">
        <v>0</v>
      </c>
      <c r="BL21" s="98">
        <v>0</v>
      </c>
      <c r="BM21" s="98">
        <v>1174.6300000000001</v>
      </c>
      <c r="BN21" s="98">
        <v>0</v>
      </c>
      <c r="BO21" s="98">
        <v>0</v>
      </c>
      <c r="BP21" s="98">
        <f>SUM(BF21:BO21)</f>
        <v>1174.6300000000001</v>
      </c>
      <c r="BQ21" s="26"/>
    </row>
    <row r="22" spans="1:69" ht="21.6" customHeight="1" x14ac:dyDescent="0.2">
      <c r="A22" s="623" t="s">
        <v>168</v>
      </c>
      <c r="B22" s="236" t="s">
        <v>76</v>
      </c>
      <c r="C22" s="109">
        <f>SUM(C23:C24)</f>
        <v>31250995</v>
      </c>
      <c r="D22" s="109">
        <f>SUM(D23:D24)</f>
        <v>18264564</v>
      </c>
      <c r="E22" s="109">
        <f>SUM(E23:E24)</f>
        <v>48692304</v>
      </c>
      <c r="F22" s="109">
        <f>SUM(F23:F24)</f>
        <v>49515559</v>
      </c>
      <c r="G22" s="11"/>
      <c r="H22" s="625" t="s">
        <v>168</v>
      </c>
      <c r="I22" s="236" t="s">
        <v>76</v>
      </c>
      <c r="J22" s="109">
        <f>SUM(J23:J24)</f>
        <v>18496.66</v>
      </c>
      <c r="K22" s="109">
        <f>SUM(K23:K24)</f>
        <v>7080</v>
      </c>
      <c r="L22" s="55"/>
      <c r="M22" s="623" t="s">
        <v>168</v>
      </c>
      <c r="N22" s="236" t="s">
        <v>76</v>
      </c>
      <c r="O22" s="93">
        <f>SUM(O23:O24)</f>
        <v>0</v>
      </c>
      <c r="P22" s="93">
        <f>SUM(P23:P24)</f>
        <v>0</v>
      </c>
      <c r="Q22" s="93">
        <f>SUM(Q23:Q24)</f>
        <v>0</v>
      </c>
      <c r="R22" s="93">
        <f>SUM(R23:R24)</f>
        <v>0</v>
      </c>
      <c r="S22" s="94" t="str">
        <f>S24</f>
        <v>De minimis</v>
      </c>
      <c r="T22" s="93">
        <f>SUM(T23:T24)</f>
        <v>4.4249999999999998E-5</v>
      </c>
      <c r="U22" s="55"/>
      <c r="V22" s="625" t="s">
        <v>168</v>
      </c>
      <c r="W22" s="236" t="s">
        <v>76</v>
      </c>
      <c r="X22" s="93">
        <f t="shared" ref="X22:AD22" si="35">SUM(X23:X24)</f>
        <v>3198.66</v>
      </c>
      <c r="Y22" s="93">
        <f t="shared" si="35"/>
        <v>25.405000000000001</v>
      </c>
      <c r="Z22" s="93">
        <f t="shared" si="35"/>
        <v>0</v>
      </c>
      <c r="AA22" s="93">
        <f t="shared" si="35"/>
        <v>6133.5120000000006</v>
      </c>
      <c r="AB22" s="93">
        <f t="shared" si="35"/>
        <v>0</v>
      </c>
      <c r="AC22" s="93">
        <f t="shared" si="35"/>
        <v>0</v>
      </c>
      <c r="AD22" s="93">
        <f t="shared" si="35"/>
        <v>9357.5770000000011</v>
      </c>
      <c r="AE22" s="55"/>
      <c r="AF22" s="625" t="s">
        <v>168</v>
      </c>
      <c r="AG22" s="236" t="s">
        <v>76</v>
      </c>
      <c r="AH22" s="93">
        <f t="shared" ref="AH22:AN22" si="36">SUM(AH23:AH24)</f>
        <v>0</v>
      </c>
      <c r="AI22" s="93">
        <f t="shared" si="36"/>
        <v>0</v>
      </c>
      <c r="AJ22" s="93">
        <f t="shared" si="36"/>
        <v>0.15</v>
      </c>
      <c r="AK22" s="93">
        <f t="shared" si="36"/>
        <v>5414.5865999999996</v>
      </c>
      <c r="AL22" s="93">
        <f t="shared" si="36"/>
        <v>0</v>
      </c>
      <c r="AM22" s="93">
        <f t="shared" si="36"/>
        <v>0</v>
      </c>
      <c r="AN22" s="93">
        <f t="shared" si="36"/>
        <v>5414.7365999999993</v>
      </c>
      <c r="AO22" s="55"/>
      <c r="AP22" s="625" t="s">
        <v>168</v>
      </c>
      <c r="AQ22" s="236" t="s">
        <v>76</v>
      </c>
      <c r="AR22" s="93">
        <f t="shared" ref="AR22:BB22" si="37">SUM(AR23:AR24)</f>
        <v>0</v>
      </c>
      <c r="AS22" s="93">
        <f t="shared" si="37"/>
        <v>0</v>
      </c>
      <c r="AT22" s="93">
        <f t="shared" si="37"/>
        <v>30.933999999999997</v>
      </c>
      <c r="AU22" s="93">
        <f t="shared" si="37"/>
        <v>0</v>
      </c>
      <c r="AV22" s="93">
        <f t="shared" si="37"/>
        <v>0</v>
      </c>
      <c r="AW22" s="93">
        <f t="shared" si="37"/>
        <v>0</v>
      </c>
      <c r="AX22" s="93">
        <f t="shared" si="37"/>
        <v>0</v>
      </c>
      <c r="AY22" s="93">
        <f t="shared" si="37"/>
        <v>302.22000000000003</v>
      </c>
      <c r="AZ22" s="93">
        <f t="shared" si="37"/>
        <v>2202.1460000000002</v>
      </c>
      <c r="BA22" s="93">
        <f t="shared" si="37"/>
        <v>86.169399999999996</v>
      </c>
      <c r="BB22" s="93">
        <f t="shared" si="37"/>
        <v>2621.4694</v>
      </c>
      <c r="BC22" s="55"/>
      <c r="BD22" s="625" t="s">
        <v>168</v>
      </c>
      <c r="BE22" s="236" t="s">
        <v>76</v>
      </c>
      <c r="BF22" s="93">
        <f t="shared" ref="BF22:BP22" si="38">SUM(BF23:BF24)</f>
        <v>0</v>
      </c>
      <c r="BG22" s="93">
        <f t="shared" si="38"/>
        <v>0</v>
      </c>
      <c r="BH22" s="93">
        <f t="shared" si="38"/>
        <v>4784.3999999999996</v>
      </c>
      <c r="BI22" s="93">
        <f t="shared" si="38"/>
        <v>0</v>
      </c>
      <c r="BJ22" s="93">
        <f t="shared" si="38"/>
        <v>0</v>
      </c>
      <c r="BK22" s="93">
        <f t="shared" si="38"/>
        <v>0</v>
      </c>
      <c r="BL22" s="93">
        <f t="shared" si="38"/>
        <v>6221.5199999999995</v>
      </c>
      <c r="BM22" s="93">
        <f t="shared" si="38"/>
        <v>303.52</v>
      </c>
      <c r="BN22" s="93">
        <f t="shared" si="38"/>
        <v>1620</v>
      </c>
      <c r="BO22" s="93">
        <f t="shared" si="38"/>
        <v>0</v>
      </c>
      <c r="BP22" s="93">
        <f t="shared" si="38"/>
        <v>12929.439999999999</v>
      </c>
      <c r="BQ22" s="26"/>
    </row>
    <row r="23" spans="1:69" ht="21.6" customHeight="1" x14ac:dyDescent="0.2">
      <c r="A23" s="623"/>
      <c r="B23" s="118" t="s">
        <v>169</v>
      </c>
      <c r="C23" s="53">
        <v>30898000</v>
      </c>
      <c r="D23" s="53">
        <v>17609000</v>
      </c>
      <c r="E23" s="53">
        <v>48507000</v>
      </c>
      <c r="F23" s="53">
        <v>48507000</v>
      </c>
      <c r="G23" s="11"/>
      <c r="H23" s="626"/>
      <c r="I23" s="118" t="s">
        <v>169</v>
      </c>
      <c r="J23" s="53">
        <v>1064.7</v>
      </c>
      <c r="K23" s="53">
        <v>7080</v>
      </c>
      <c r="L23" s="55"/>
      <c r="M23" s="623"/>
      <c r="N23" s="118" t="s">
        <v>169</v>
      </c>
      <c r="O23" s="98">
        <v>0</v>
      </c>
      <c r="P23" s="98">
        <v>0</v>
      </c>
      <c r="Q23" s="98">
        <v>0</v>
      </c>
      <c r="R23" s="98">
        <v>0</v>
      </c>
      <c r="S23" s="98">
        <v>4.375E-5</v>
      </c>
      <c r="T23" s="98">
        <v>4.375E-5</v>
      </c>
      <c r="U23" s="55"/>
      <c r="V23" s="626"/>
      <c r="W23" s="118" t="s">
        <v>169</v>
      </c>
      <c r="X23" s="98">
        <v>3198.66</v>
      </c>
      <c r="Y23" s="98">
        <v>25.405000000000001</v>
      </c>
      <c r="Z23" s="98">
        <v>0</v>
      </c>
      <c r="AA23" s="98">
        <v>5607.2160000000003</v>
      </c>
      <c r="AB23" s="98">
        <v>0</v>
      </c>
      <c r="AC23" s="98">
        <v>0</v>
      </c>
      <c r="AD23" s="98">
        <f>SUM(X23:AC23)</f>
        <v>8831.2810000000009</v>
      </c>
      <c r="AE23" s="55"/>
      <c r="AF23" s="626"/>
      <c r="AG23" s="118" t="s">
        <v>169</v>
      </c>
      <c r="AH23" s="98">
        <v>0</v>
      </c>
      <c r="AI23" s="98">
        <v>0</v>
      </c>
      <c r="AJ23" s="98">
        <v>0</v>
      </c>
      <c r="AK23" s="98">
        <v>5414.5865999999996</v>
      </c>
      <c r="AL23" s="98">
        <v>0</v>
      </c>
      <c r="AM23" s="98">
        <v>0</v>
      </c>
      <c r="AN23" s="98">
        <f>SUM(AH23:AM23)</f>
        <v>5414.5865999999996</v>
      </c>
      <c r="AO23" s="55"/>
      <c r="AP23" s="626"/>
      <c r="AQ23" s="118" t="s">
        <v>169</v>
      </c>
      <c r="AR23" s="98">
        <v>0</v>
      </c>
      <c r="AS23" s="98">
        <v>0</v>
      </c>
      <c r="AT23" s="98">
        <v>0.67600000000000005</v>
      </c>
      <c r="AU23" s="98">
        <v>0</v>
      </c>
      <c r="AV23" s="98">
        <v>0</v>
      </c>
      <c r="AW23" s="98">
        <v>0</v>
      </c>
      <c r="AX23" s="98">
        <v>0</v>
      </c>
      <c r="AY23" s="98">
        <v>302.22000000000003</v>
      </c>
      <c r="AZ23" s="98">
        <v>2202.1460000000002</v>
      </c>
      <c r="BA23" s="98">
        <v>86.169399999999996</v>
      </c>
      <c r="BB23" s="98">
        <f>SUM(AR23:BA23)</f>
        <v>2591.2114000000001</v>
      </c>
      <c r="BC23" s="55"/>
      <c r="BD23" s="626"/>
      <c r="BE23" s="118" t="s">
        <v>169</v>
      </c>
      <c r="BF23" s="98">
        <v>0</v>
      </c>
      <c r="BG23" s="98">
        <v>0</v>
      </c>
      <c r="BH23" s="98">
        <v>575.4</v>
      </c>
      <c r="BI23" s="98">
        <v>0</v>
      </c>
      <c r="BJ23" s="98">
        <v>0</v>
      </c>
      <c r="BK23" s="98">
        <v>0</v>
      </c>
      <c r="BL23" s="98">
        <v>861.87</v>
      </c>
      <c r="BM23" s="98">
        <v>303.52</v>
      </c>
      <c r="BN23" s="98">
        <v>1620</v>
      </c>
      <c r="BO23" s="98">
        <v>0</v>
      </c>
      <c r="BP23" s="98">
        <f>SUM(BF23:BO23)</f>
        <v>3360.79</v>
      </c>
      <c r="BQ23" s="26"/>
    </row>
    <row r="24" spans="1:69" ht="21.6" customHeight="1" x14ac:dyDescent="0.2">
      <c r="A24" s="623"/>
      <c r="B24" s="201" t="s">
        <v>570</v>
      </c>
      <c r="C24" s="267">
        <v>352995</v>
      </c>
      <c r="D24" s="267">
        <v>655564</v>
      </c>
      <c r="E24" s="267">
        <v>185304</v>
      </c>
      <c r="F24" s="267">
        <v>1008559</v>
      </c>
      <c r="G24" s="11"/>
      <c r="H24" s="622"/>
      <c r="I24" s="118" t="s">
        <v>14</v>
      </c>
      <c r="J24" s="53">
        <v>17431.96</v>
      </c>
      <c r="K24" s="406" t="s">
        <v>16</v>
      </c>
      <c r="L24" s="55"/>
      <c r="M24" s="623"/>
      <c r="N24" s="118" t="s">
        <v>14</v>
      </c>
      <c r="O24" s="98">
        <v>0</v>
      </c>
      <c r="P24" s="98">
        <v>0</v>
      </c>
      <c r="Q24" s="98">
        <v>0</v>
      </c>
      <c r="R24" s="98">
        <v>0</v>
      </c>
      <c r="S24" s="48" t="s">
        <v>161</v>
      </c>
      <c r="T24" s="98">
        <v>4.9999999999999998E-7</v>
      </c>
      <c r="U24" s="55"/>
      <c r="V24" s="622"/>
      <c r="W24" s="118" t="s">
        <v>14</v>
      </c>
      <c r="X24" s="98">
        <v>0</v>
      </c>
      <c r="Y24" s="98">
        <v>0</v>
      </c>
      <c r="Z24" s="98">
        <v>0</v>
      </c>
      <c r="AA24" s="98">
        <v>526.29600000000005</v>
      </c>
      <c r="AB24" s="98">
        <v>0</v>
      </c>
      <c r="AC24" s="98">
        <v>0</v>
      </c>
      <c r="AD24" s="98">
        <f>SUM(X24:AC24)</f>
        <v>526.29600000000005</v>
      </c>
      <c r="AE24" s="55"/>
      <c r="AF24" s="622"/>
      <c r="AG24" s="118" t="s">
        <v>14</v>
      </c>
      <c r="AH24" s="98">
        <v>0</v>
      </c>
      <c r="AI24" s="98">
        <v>0</v>
      </c>
      <c r="AJ24" s="98">
        <v>0.15</v>
      </c>
      <c r="AK24" s="98">
        <v>0</v>
      </c>
      <c r="AL24" s="98">
        <v>0</v>
      </c>
      <c r="AM24" s="98">
        <v>0</v>
      </c>
      <c r="AN24" s="98">
        <f>SUM(AH24:AM24)</f>
        <v>0.15</v>
      </c>
      <c r="AO24" s="55"/>
      <c r="AP24" s="622"/>
      <c r="AQ24" s="118" t="s">
        <v>14</v>
      </c>
      <c r="AR24" s="98">
        <v>0</v>
      </c>
      <c r="AS24" s="98">
        <v>0</v>
      </c>
      <c r="AT24" s="98">
        <v>30.257999999999999</v>
      </c>
      <c r="AU24" s="98">
        <v>0</v>
      </c>
      <c r="AV24" s="98">
        <v>0</v>
      </c>
      <c r="AW24" s="98">
        <v>0</v>
      </c>
      <c r="AX24" s="98">
        <v>0</v>
      </c>
      <c r="AY24" s="98">
        <v>0</v>
      </c>
      <c r="AZ24" s="98">
        <v>0</v>
      </c>
      <c r="BA24" s="98">
        <v>0</v>
      </c>
      <c r="BB24" s="98">
        <f>SUM(AR24:BA24)</f>
        <v>30.257999999999999</v>
      </c>
      <c r="BC24" s="55"/>
      <c r="BD24" s="622"/>
      <c r="BE24" s="118" t="s">
        <v>14</v>
      </c>
      <c r="BF24" s="98">
        <v>0</v>
      </c>
      <c r="BG24" s="98">
        <v>0</v>
      </c>
      <c r="BH24" s="98">
        <v>4209</v>
      </c>
      <c r="BI24" s="98">
        <v>0</v>
      </c>
      <c r="BJ24" s="98">
        <v>0</v>
      </c>
      <c r="BK24" s="98">
        <v>0</v>
      </c>
      <c r="BL24" s="98">
        <v>5359.65</v>
      </c>
      <c r="BM24" s="98">
        <v>0</v>
      </c>
      <c r="BN24" s="98">
        <v>0</v>
      </c>
      <c r="BO24" s="98">
        <v>0</v>
      </c>
      <c r="BP24" s="98">
        <f>SUM(BF24:BO24)</f>
        <v>9568.65</v>
      </c>
      <c r="BQ24" s="26"/>
    </row>
    <row r="25" spans="1:69" ht="21.6" customHeight="1" x14ac:dyDescent="0.2">
      <c r="A25" s="42" t="s">
        <v>170</v>
      </c>
      <c r="B25" s="120" t="s">
        <v>50</v>
      </c>
      <c r="C25" s="109">
        <f>SUM(C5,C8,C10,C14,C16,C18,C20,C22)</f>
        <v>82487812.124648303</v>
      </c>
      <c r="D25" s="109">
        <f>SUM(D5,D8,D10,D14,D16,D18,D20,D22)</f>
        <v>201911718.21203229</v>
      </c>
      <c r="E25" s="109">
        <f>SUM(E5,E8,E10,E14,E16,E18,E20,E22)</f>
        <v>283579259.33668059</v>
      </c>
      <c r="F25" s="109">
        <f>SUM(F5,F8,F10,F14,F16,F18,F20,F22)</f>
        <v>284912221.4437387</v>
      </c>
      <c r="G25" s="11"/>
      <c r="H25" s="42" t="s">
        <v>170</v>
      </c>
      <c r="I25" s="120" t="s">
        <v>50</v>
      </c>
      <c r="J25" s="109">
        <f>SUM(J5,J8,J10,J14,J16,J18,J20,J22)</f>
        <v>40717.9</v>
      </c>
      <c r="K25" s="109">
        <f>SUM(K5,K8,K10,K14,K16,K18,K20,K22)</f>
        <v>7230.99</v>
      </c>
      <c r="L25" s="55"/>
      <c r="M25" s="42" t="s">
        <v>170</v>
      </c>
      <c r="N25" s="120" t="s">
        <v>50</v>
      </c>
      <c r="O25" s="93">
        <f t="shared" ref="O25:T25" si="39">SUM(O5,O8,O10,O14,O16,O18,O20,O22)</f>
        <v>2.904992179491833</v>
      </c>
      <c r="P25" s="93">
        <f t="shared" si="39"/>
        <v>0</v>
      </c>
      <c r="Q25" s="93">
        <f t="shared" si="39"/>
        <v>20.140137930999998</v>
      </c>
      <c r="R25" s="93">
        <f t="shared" si="39"/>
        <v>0</v>
      </c>
      <c r="S25" s="93">
        <f t="shared" si="39"/>
        <v>1.6209393829401086</v>
      </c>
      <c r="T25" s="93">
        <f t="shared" si="39"/>
        <v>24.666113743431939</v>
      </c>
      <c r="U25" s="55"/>
      <c r="V25" s="42" t="s">
        <v>170</v>
      </c>
      <c r="W25" s="120" t="s">
        <v>50</v>
      </c>
      <c r="X25" s="93">
        <f t="shared" ref="X25:AD25" si="40">SUM(X5,X8,X10,X14,X16,X18,X20,X22)</f>
        <v>3919.8999999999996</v>
      </c>
      <c r="Y25" s="93">
        <f t="shared" si="40"/>
        <v>172.40993999999998</v>
      </c>
      <c r="Z25" s="93">
        <f t="shared" si="40"/>
        <v>163.94</v>
      </c>
      <c r="AA25" s="93">
        <f t="shared" si="40"/>
        <v>7321.1898063829412</v>
      </c>
      <c r="AB25" s="93">
        <f t="shared" si="40"/>
        <v>0</v>
      </c>
      <c r="AC25" s="93">
        <f t="shared" si="40"/>
        <v>117.5</v>
      </c>
      <c r="AD25" s="93">
        <f t="shared" si="40"/>
        <v>11694.939746382941</v>
      </c>
      <c r="AE25" s="55"/>
      <c r="AF25" s="42" t="s">
        <v>170</v>
      </c>
      <c r="AG25" s="120" t="s">
        <v>50</v>
      </c>
      <c r="AH25" s="93">
        <f t="shared" ref="AH25:AN25" si="41">SUM(AH5,AH8,AH10,AH14,AH16,AH18,AH20,AH22)</f>
        <v>792.14080000000001</v>
      </c>
      <c r="AI25" s="93">
        <f t="shared" si="41"/>
        <v>2117.35</v>
      </c>
      <c r="AJ25" s="93">
        <f t="shared" si="41"/>
        <v>50.540230000000001</v>
      </c>
      <c r="AK25" s="93">
        <f t="shared" si="41"/>
        <v>24465.575929999999</v>
      </c>
      <c r="AL25" s="93">
        <f t="shared" si="41"/>
        <v>377.74</v>
      </c>
      <c r="AM25" s="93">
        <f t="shared" si="41"/>
        <v>0</v>
      </c>
      <c r="AN25" s="93">
        <f t="shared" si="41"/>
        <v>27803.346960000003</v>
      </c>
      <c r="AO25" s="55"/>
      <c r="AP25" s="42" t="s">
        <v>170</v>
      </c>
      <c r="AQ25" s="120" t="s">
        <v>50</v>
      </c>
      <c r="AR25" s="93">
        <f t="shared" ref="AR25:BB25" si="42">SUM(AR5,AR8,AR10,AR14,AR16,AR18,AR20,AR22)</f>
        <v>0</v>
      </c>
      <c r="AS25" s="93">
        <f t="shared" si="42"/>
        <v>314.98</v>
      </c>
      <c r="AT25" s="93">
        <f t="shared" si="42"/>
        <v>458.83480382499999</v>
      </c>
      <c r="AU25" s="93">
        <f t="shared" si="42"/>
        <v>110.35627422867515</v>
      </c>
      <c r="AV25" s="93">
        <f t="shared" si="42"/>
        <v>0</v>
      </c>
      <c r="AW25" s="93">
        <f t="shared" si="42"/>
        <v>0</v>
      </c>
      <c r="AX25" s="93">
        <f t="shared" si="42"/>
        <v>62.718400000000003</v>
      </c>
      <c r="AY25" s="93">
        <f t="shared" si="42"/>
        <v>3672.2093466424685</v>
      </c>
      <c r="AZ25" s="93">
        <f t="shared" si="42"/>
        <v>2350.7460000000001</v>
      </c>
      <c r="BA25" s="93">
        <f t="shared" si="42"/>
        <v>88.459817422867516</v>
      </c>
      <c r="BB25" s="93">
        <f t="shared" si="42"/>
        <v>7058.3046421190102</v>
      </c>
      <c r="BC25" s="55"/>
      <c r="BD25" s="42" t="s">
        <v>170</v>
      </c>
      <c r="BE25" s="120" t="s">
        <v>50</v>
      </c>
      <c r="BF25" s="93">
        <f t="shared" ref="BF25:BP25" si="43">SUM(BF5,BF8,BF10,BF14,BF16,BF18,BF20,BF22)</f>
        <v>0</v>
      </c>
      <c r="BG25" s="93">
        <f t="shared" si="43"/>
        <v>0</v>
      </c>
      <c r="BH25" s="93">
        <f t="shared" si="43"/>
        <v>4784.3999999999996</v>
      </c>
      <c r="BI25" s="93">
        <f t="shared" si="43"/>
        <v>1.5880217785843899E-2</v>
      </c>
      <c r="BJ25" s="93">
        <f t="shared" si="43"/>
        <v>0</v>
      </c>
      <c r="BK25" s="93">
        <f t="shared" si="43"/>
        <v>0</v>
      </c>
      <c r="BL25" s="93">
        <f t="shared" si="43"/>
        <v>14587.299338249999</v>
      </c>
      <c r="BM25" s="93">
        <f t="shared" si="43"/>
        <v>2775.4084482758622</v>
      </c>
      <c r="BN25" s="93">
        <f t="shared" si="43"/>
        <v>2464.4300000000003</v>
      </c>
      <c r="BO25" s="93">
        <f t="shared" si="43"/>
        <v>154.4</v>
      </c>
      <c r="BP25" s="93">
        <f t="shared" si="43"/>
        <v>24765.953666743648</v>
      </c>
      <c r="BQ25" s="26"/>
    </row>
    <row r="26" spans="1:69" ht="40.700000000000003" customHeight="1" x14ac:dyDescent="0.2">
      <c r="A26" s="563" t="s">
        <v>571</v>
      </c>
      <c r="B26" s="563"/>
      <c r="C26" s="563"/>
      <c r="D26" s="563"/>
      <c r="E26" s="563"/>
      <c r="F26" s="563"/>
      <c r="G26" s="23"/>
      <c r="H26" s="601"/>
      <c r="I26" s="601"/>
      <c r="J26" s="601"/>
      <c r="K26" s="601"/>
      <c r="M26" s="566" t="s">
        <v>572</v>
      </c>
      <c r="N26" s="566"/>
      <c r="O26" s="566"/>
      <c r="P26" s="566"/>
      <c r="Q26" s="566"/>
      <c r="R26" s="566"/>
      <c r="S26" s="566"/>
      <c r="T26" s="566"/>
      <c r="U26" s="393"/>
      <c r="V26" s="574" t="s">
        <v>1176</v>
      </c>
      <c r="W26" s="574"/>
      <c r="X26" s="574"/>
      <c r="Y26" s="574"/>
      <c r="Z26" s="574"/>
      <c r="AA26" s="574"/>
      <c r="AB26" s="574"/>
      <c r="AC26" s="574"/>
      <c r="AD26" s="574"/>
      <c r="AE26" s="7"/>
      <c r="AF26" s="680" t="s">
        <v>573</v>
      </c>
      <c r="AG26" s="680"/>
      <c r="AH26" s="680"/>
      <c r="AI26" s="680"/>
      <c r="AJ26" s="680"/>
      <c r="AK26" s="680"/>
      <c r="AL26" s="680"/>
      <c r="AM26" s="680"/>
      <c r="AN26" s="680"/>
      <c r="AO26" s="7"/>
      <c r="AP26" s="682" t="s">
        <v>1179</v>
      </c>
      <c r="AQ26" s="682"/>
      <c r="AR26" s="682"/>
      <c r="AS26" s="682"/>
      <c r="AT26" s="682"/>
      <c r="AU26" s="682"/>
      <c r="AV26" s="682"/>
      <c r="AW26" s="682"/>
      <c r="AX26" s="682"/>
      <c r="AY26" s="682"/>
      <c r="AZ26" s="682"/>
      <c r="BA26" s="682"/>
      <c r="BB26" s="682"/>
      <c r="BD26" s="682" t="s">
        <v>1179</v>
      </c>
      <c r="BE26" s="682"/>
      <c r="BF26" s="682"/>
      <c r="BG26" s="682"/>
      <c r="BH26" s="682"/>
      <c r="BI26" s="682"/>
      <c r="BJ26" s="682"/>
      <c r="BK26" s="682"/>
      <c r="BL26" s="682"/>
      <c r="BM26" s="682"/>
      <c r="BN26" s="682"/>
      <c r="BO26" s="682"/>
      <c r="BP26" s="682"/>
    </row>
    <row r="27" spans="1:69" ht="54.75" customHeight="1" x14ac:dyDescent="0.2">
      <c r="A27" s="564"/>
      <c r="B27" s="564"/>
      <c r="C27" s="564"/>
      <c r="D27" s="564"/>
      <c r="E27" s="564"/>
      <c r="F27" s="564"/>
      <c r="G27" s="34"/>
      <c r="M27" s="573"/>
      <c r="N27" s="573"/>
      <c r="O27" s="573"/>
      <c r="P27" s="573"/>
      <c r="Q27" s="573"/>
      <c r="R27" s="573"/>
      <c r="S27" s="573"/>
      <c r="T27" s="639"/>
      <c r="U27" s="393"/>
      <c r="V27" s="679"/>
      <c r="W27" s="679"/>
      <c r="X27" s="679"/>
      <c r="Y27" s="679"/>
      <c r="Z27" s="679"/>
      <c r="AA27" s="679"/>
      <c r="AB27" s="679"/>
      <c r="AC27" s="679"/>
      <c r="AD27" s="679"/>
      <c r="AE27" s="32"/>
      <c r="AF27" s="681"/>
      <c r="AG27" s="681"/>
      <c r="AH27" s="681"/>
      <c r="AI27" s="681"/>
      <c r="AJ27" s="681"/>
      <c r="AK27" s="681"/>
      <c r="AL27" s="681"/>
      <c r="AM27" s="681"/>
      <c r="AN27" s="681"/>
      <c r="AO27" s="7"/>
      <c r="AP27" s="683"/>
      <c r="AQ27" s="683"/>
      <c r="AR27" s="683"/>
      <c r="AS27" s="683"/>
      <c r="AT27" s="683"/>
      <c r="AU27" s="683"/>
      <c r="AV27" s="683"/>
      <c r="AW27" s="683"/>
      <c r="AX27" s="683"/>
      <c r="AY27" s="683"/>
      <c r="AZ27" s="683"/>
      <c r="BA27" s="683"/>
      <c r="BB27" s="683"/>
      <c r="BD27" s="631"/>
      <c r="BE27" s="631"/>
      <c r="BF27" s="631"/>
      <c r="BG27" s="631"/>
      <c r="BH27" s="631"/>
      <c r="BI27" s="631"/>
      <c r="BJ27" s="631"/>
      <c r="BK27" s="631"/>
      <c r="BL27" s="631"/>
      <c r="BM27" s="631"/>
      <c r="BN27" s="631"/>
      <c r="BO27" s="631"/>
      <c r="BP27" s="631"/>
    </row>
    <row r="28" spans="1:69" ht="66.599999999999994" customHeight="1" x14ac:dyDescent="0.2">
      <c r="A28" s="7"/>
      <c r="B28" s="7"/>
      <c r="C28" s="7"/>
      <c r="D28" s="7"/>
      <c r="F28" s="7"/>
      <c r="G28" s="23"/>
      <c r="M28" s="7"/>
      <c r="N28" s="7"/>
      <c r="O28" s="23"/>
      <c r="P28" s="23"/>
      <c r="Q28" s="23"/>
      <c r="R28" s="23"/>
      <c r="S28" s="23"/>
      <c r="AE28" s="7"/>
      <c r="AJ28" s="7"/>
    </row>
    <row r="29" spans="1:69" ht="36.6" customHeight="1" x14ac:dyDescent="0.2">
      <c r="A29" s="7"/>
      <c r="B29" s="7"/>
      <c r="C29" s="7"/>
      <c r="D29" s="7"/>
      <c r="F29" s="7"/>
      <c r="L29" s="7"/>
      <c r="O29" s="23"/>
      <c r="P29" s="23"/>
      <c r="Q29" s="23"/>
      <c r="R29" s="23"/>
      <c r="S29" s="23"/>
      <c r="X29" s="7"/>
      <c r="Z29" s="7"/>
      <c r="AB29" s="7"/>
      <c r="AF29" s="7"/>
      <c r="AH29" s="7"/>
      <c r="AI29" s="7"/>
      <c r="AJ29" s="7"/>
      <c r="AK29" s="7"/>
      <c r="AL29" s="7"/>
      <c r="AM29" s="7"/>
      <c r="AP29" s="7"/>
      <c r="AR29" s="7"/>
      <c r="AS29" s="7"/>
      <c r="AT29" s="7"/>
      <c r="AU29" s="7"/>
      <c r="AV29" s="7"/>
      <c r="AW29" s="7"/>
      <c r="AX29" s="7"/>
      <c r="AY29" s="7"/>
      <c r="AZ29" s="7"/>
      <c r="BA29" s="7"/>
      <c r="BD29" s="7"/>
      <c r="BF29" s="7"/>
      <c r="BG29" s="7"/>
      <c r="BH29" s="7"/>
      <c r="BI29" s="7"/>
      <c r="BJ29" s="7"/>
      <c r="BK29" s="7"/>
      <c r="BL29" s="7"/>
      <c r="BM29" s="7"/>
      <c r="BN29" s="7"/>
      <c r="BO29" s="7"/>
    </row>
    <row r="30" spans="1:69" ht="21.6" customHeight="1" x14ac:dyDescent="0.2">
      <c r="L30" s="7"/>
      <c r="O30" s="23"/>
      <c r="P30" s="23"/>
      <c r="Q30" s="23"/>
      <c r="R30" s="23"/>
      <c r="S30" s="23"/>
      <c r="V30" s="7"/>
      <c r="W30" s="7"/>
      <c r="X30" s="7"/>
      <c r="Y30" s="7"/>
      <c r="Z30" s="7"/>
      <c r="AA30" s="7"/>
      <c r="AB30" s="7"/>
      <c r="AC30" s="7"/>
      <c r="AE30" s="7"/>
      <c r="AF30" s="7"/>
      <c r="AH30" s="7"/>
      <c r="AI30" s="7"/>
      <c r="AJ30" s="7"/>
      <c r="AK30" s="7"/>
      <c r="AL30" s="7"/>
      <c r="AM30" s="7"/>
      <c r="AO30" s="7"/>
      <c r="AP30" s="7"/>
      <c r="AR30" s="7"/>
      <c r="AS30" s="7"/>
      <c r="AT30" s="7"/>
      <c r="AU30" s="7"/>
      <c r="AV30" s="7"/>
      <c r="AW30" s="7"/>
      <c r="AX30" s="7"/>
      <c r="AY30" s="7"/>
      <c r="AZ30" s="7"/>
      <c r="BA30" s="7"/>
      <c r="BC30" s="7"/>
      <c r="BD30" s="7"/>
      <c r="BF30" s="7"/>
      <c r="BG30" s="7"/>
      <c r="BH30" s="7"/>
      <c r="BI30" s="7"/>
      <c r="BJ30" s="7"/>
      <c r="BK30" s="7"/>
      <c r="BL30" s="7"/>
      <c r="BM30" s="7"/>
      <c r="BN30" s="7"/>
      <c r="BO30" s="7"/>
      <c r="BP30" s="7"/>
      <c r="BQ30" s="7"/>
    </row>
    <row r="31" spans="1:69" ht="65.849999999999994" customHeight="1" x14ac:dyDescent="0.2">
      <c r="B31" s="7"/>
      <c r="O31" s="23"/>
      <c r="P31" s="23"/>
      <c r="Q31" s="23"/>
      <c r="R31" s="23"/>
      <c r="S31" s="23"/>
      <c r="V31" s="7"/>
      <c r="W31" s="7"/>
      <c r="X31" s="7"/>
      <c r="Y31" s="7"/>
      <c r="Z31" s="7"/>
      <c r="AA31" s="7"/>
      <c r="AB31" s="7"/>
      <c r="AC31" s="7"/>
      <c r="AE31" s="7"/>
      <c r="AF31" s="7"/>
      <c r="AH31" s="7"/>
      <c r="AI31" s="7"/>
      <c r="AJ31" s="7"/>
      <c r="AK31" s="7"/>
      <c r="AL31" s="7"/>
      <c r="AM31" s="7"/>
      <c r="AO31" s="7"/>
      <c r="AP31" s="7"/>
      <c r="AR31" s="7"/>
      <c r="AS31" s="7"/>
      <c r="AT31" s="7"/>
      <c r="AU31" s="7"/>
      <c r="AV31" s="7"/>
      <c r="AW31" s="7"/>
      <c r="AX31" s="7"/>
      <c r="AY31" s="7"/>
      <c r="AZ31" s="7"/>
      <c r="BA31" s="7"/>
      <c r="BC31" s="7"/>
      <c r="BD31" s="7"/>
      <c r="BF31" s="7"/>
      <c r="BG31" s="7"/>
      <c r="BH31" s="7"/>
      <c r="BI31" s="7"/>
      <c r="BJ31" s="7"/>
      <c r="BK31" s="7"/>
      <c r="BL31" s="7"/>
      <c r="BM31" s="7"/>
      <c r="BN31" s="7"/>
      <c r="BO31" s="7"/>
      <c r="BP31" s="7"/>
      <c r="BQ31" s="7"/>
    </row>
    <row r="32" spans="1:69" ht="21.6" customHeight="1" x14ac:dyDescent="0.2">
      <c r="O32" s="23"/>
      <c r="P32" s="23"/>
      <c r="Q32" s="23"/>
      <c r="R32" s="23"/>
      <c r="S32" s="23"/>
      <c r="V32" s="7"/>
      <c r="W32" s="7"/>
      <c r="X32" s="7"/>
      <c r="Y32" s="7"/>
      <c r="Z32" s="7"/>
      <c r="AA32" s="7"/>
      <c r="AB32" s="7"/>
      <c r="AC32" s="7"/>
      <c r="AE32" s="7"/>
      <c r="AF32" s="7"/>
      <c r="AH32" s="7"/>
      <c r="AI32" s="7"/>
      <c r="AJ32" s="7"/>
      <c r="AK32" s="7"/>
      <c r="AL32" s="7"/>
      <c r="AM32" s="7"/>
      <c r="AO32" s="7"/>
      <c r="AP32" s="7"/>
      <c r="AR32" s="7"/>
      <c r="AS32" s="7"/>
      <c r="AT32" s="7"/>
      <c r="AU32" s="7"/>
      <c r="AV32" s="7"/>
      <c r="AW32" s="7"/>
      <c r="AX32" s="7"/>
      <c r="AY32" s="7"/>
      <c r="AZ32" s="7"/>
      <c r="BA32" s="7"/>
      <c r="BC32" s="7"/>
      <c r="BD32" s="7"/>
      <c r="BF32" s="7"/>
      <c r="BG32" s="7"/>
      <c r="BH32" s="7"/>
      <c r="BI32" s="7"/>
      <c r="BJ32" s="7"/>
      <c r="BK32" s="7"/>
      <c r="BL32" s="7"/>
      <c r="BM32" s="7"/>
      <c r="BN32" s="7"/>
      <c r="BO32" s="7"/>
      <c r="BP32" s="7"/>
      <c r="BQ32" s="7"/>
    </row>
    <row r="33" spans="2:69" ht="21.6" customHeight="1" x14ac:dyDescent="0.2">
      <c r="O33" s="23"/>
      <c r="P33" s="23"/>
      <c r="Q33" s="23"/>
      <c r="R33" s="23"/>
      <c r="S33" s="23"/>
      <c r="V33" s="7"/>
      <c r="W33" s="7"/>
      <c r="X33" s="7"/>
      <c r="Y33" s="7"/>
      <c r="Z33" s="7"/>
      <c r="AA33" s="7"/>
      <c r="AB33" s="7"/>
      <c r="AC33" s="7"/>
      <c r="AE33" s="7"/>
      <c r="AF33" s="7"/>
      <c r="AH33" s="7"/>
      <c r="AI33" s="7"/>
      <c r="AJ33" s="7"/>
      <c r="AK33" s="7"/>
      <c r="AL33" s="7"/>
      <c r="AM33" s="7"/>
      <c r="AO33" s="7"/>
      <c r="AP33" s="7"/>
      <c r="AR33" s="7"/>
      <c r="AS33" s="7"/>
      <c r="AT33" s="7"/>
      <c r="AU33" s="7"/>
      <c r="AV33" s="7"/>
      <c r="AW33" s="7"/>
      <c r="AX33" s="7"/>
      <c r="AY33" s="7"/>
      <c r="AZ33" s="7"/>
      <c r="BA33" s="7"/>
      <c r="BC33" s="7"/>
      <c r="BD33" s="7"/>
      <c r="BF33" s="7"/>
      <c r="BG33" s="7"/>
      <c r="BH33" s="7"/>
      <c r="BI33" s="7"/>
      <c r="BJ33" s="7"/>
      <c r="BK33" s="7"/>
      <c r="BL33" s="7"/>
      <c r="BM33" s="7"/>
      <c r="BN33" s="7"/>
      <c r="BO33" s="7"/>
      <c r="BP33" s="7"/>
      <c r="BQ33" s="7"/>
    </row>
    <row r="34" spans="2:69" ht="21.6" customHeight="1" x14ac:dyDescent="0.2">
      <c r="B34" s="604"/>
      <c r="O34" s="23"/>
      <c r="P34" s="23"/>
      <c r="Q34" s="23"/>
      <c r="R34" s="23"/>
      <c r="S34" s="23"/>
      <c r="V34" s="7"/>
      <c r="W34" s="7"/>
      <c r="X34" s="7"/>
      <c r="Y34" s="7"/>
      <c r="Z34" s="7"/>
      <c r="AA34" s="7"/>
      <c r="AB34" s="7"/>
      <c r="AC34" s="7"/>
      <c r="AE34" s="7"/>
      <c r="AF34" s="7"/>
      <c r="AH34" s="7"/>
      <c r="AI34" s="7"/>
      <c r="AJ34" s="7"/>
      <c r="AK34" s="7"/>
      <c r="AL34" s="7"/>
      <c r="AM34" s="7"/>
      <c r="AO34" s="7"/>
      <c r="AP34" s="7"/>
      <c r="AR34" s="7"/>
      <c r="AS34" s="7"/>
      <c r="AT34" s="7"/>
      <c r="AU34" s="7"/>
      <c r="AV34" s="7"/>
      <c r="AW34" s="7"/>
      <c r="AX34" s="7"/>
      <c r="AY34" s="7"/>
      <c r="AZ34" s="7"/>
      <c r="BA34" s="7"/>
      <c r="BC34" s="7"/>
      <c r="BD34" s="7"/>
      <c r="BF34" s="7"/>
      <c r="BG34" s="7"/>
      <c r="BH34" s="7"/>
      <c r="BI34" s="7"/>
      <c r="BJ34" s="7"/>
      <c r="BK34" s="7"/>
      <c r="BL34" s="7"/>
      <c r="BM34" s="7"/>
      <c r="BN34" s="7"/>
      <c r="BO34" s="7"/>
      <c r="BP34" s="7"/>
      <c r="BQ34" s="7"/>
    </row>
    <row r="35" spans="2:69" ht="21.6" customHeight="1" x14ac:dyDescent="0.2">
      <c r="B35" s="613"/>
      <c r="O35" s="23"/>
      <c r="P35" s="23"/>
      <c r="Q35" s="23"/>
      <c r="R35" s="23"/>
      <c r="S35" s="23"/>
      <c r="V35" s="7"/>
      <c r="W35" s="7"/>
      <c r="X35" s="7"/>
      <c r="Y35" s="7"/>
      <c r="Z35" s="7"/>
      <c r="AA35" s="7"/>
      <c r="AB35" s="7"/>
      <c r="AC35" s="7"/>
      <c r="AE35" s="7"/>
      <c r="AF35" s="7"/>
      <c r="AH35" s="7"/>
      <c r="AI35" s="7"/>
      <c r="AJ35" s="7"/>
      <c r="AK35" s="7"/>
      <c r="AL35" s="7"/>
      <c r="AM35" s="7"/>
      <c r="AO35" s="7"/>
      <c r="AP35" s="7"/>
      <c r="AR35" s="7"/>
      <c r="AS35" s="7"/>
      <c r="AT35" s="7"/>
      <c r="AU35" s="7"/>
      <c r="AV35" s="7"/>
      <c r="AW35" s="7"/>
      <c r="AX35" s="7"/>
      <c r="AY35" s="7"/>
      <c r="AZ35" s="7"/>
      <c r="BA35" s="7"/>
      <c r="BC35" s="7"/>
      <c r="BD35" s="7"/>
      <c r="BF35" s="7"/>
      <c r="BG35" s="7"/>
      <c r="BH35" s="7"/>
      <c r="BI35" s="7"/>
      <c r="BJ35" s="7"/>
      <c r="BK35" s="7"/>
      <c r="BL35" s="7"/>
      <c r="BM35" s="7"/>
      <c r="BN35" s="7"/>
      <c r="BO35" s="7"/>
      <c r="BP35" s="7"/>
      <c r="BQ35" s="7"/>
    </row>
    <row r="36" spans="2:69" ht="21.6" customHeight="1" x14ac:dyDescent="0.2">
      <c r="B36" s="613"/>
      <c r="O36" s="23"/>
      <c r="P36" s="23"/>
      <c r="Q36" s="23"/>
      <c r="R36" s="23"/>
      <c r="S36" s="23"/>
      <c r="V36" s="7"/>
      <c r="W36" s="7"/>
      <c r="X36" s="7"/>
      <c r="Y36" s="7"/>
      <c r="Z36" s="7"/>
      <c r="AA36" s="7"/>
      <c r="AB36" s="7"/>
      <c r="AC36" s="7"/>
      <c r="AE36" s="7"/>
      <c r="AF36" s="7"/>
      <c r="AH36" s="7"/>
      <c r="AI36" s="7"/>
      <c r="AJ36" s="7"/>
      <c r="AK36" s="7"/>
      <c r="AL36" s="7"/>
      <c r="AM36" s="7"/>
      <c r="AO36" s="7"/>
      <c r="AP36" s="7"/>
      <c r="AR36" s="7"/>
      <c r="AS36" s="7"/>
      <c r="AT36" s="7"/>
      <c r="AU36" s="7"/>
      <c r="AV36" s="7"/>
      <c r="AW36" s="7"/>
      <c r="AX36" s="7"/>
      <c r="AY36" s="7"/>
      <c r="AZ36" s="7"/>
      <c r="BA36" s="7"/>
      <c r="BC36" s="7"/>
      <c r="BD36" s="7"/>
      <c r="BF36" s="7"/>
      <c r="BG36" s="7"/>
      <c r="BH36" s="7"/>
      <c r="BI36" s="7"/>
      <c r="BJ36" s="7"/>
      <c r="BK36" s="7"/>
      <c r="BL36" s="7"/>
      <c r="BM36" s="7"/>
      <c r="BN36" s="7"/>
      <c r="BO36" s="7"/>
      <c r="BP36" s="7"/>
      <c r="BQ36" s="7"/>
    </row>
    <row r="37" spans="2:69" ht="21.6" customHeight="1" x14ac:dyDescent="0.2">
      <c r="O37" s="23"/>
      <c r="P37" s="23"/>
      <c r="Q37" s="23"/>
      <c r="R37" s="23"/>
      <c r="S37" s="23"/>
      <c r="V37" s="7"/>
      <c r="W37" s="7"/>
      <c r="X37" s="7"/>
      <c r="Y37" s="7"/>
      <c r="Z37" s="7"/>
      <c r="AA37" s="7"/>
      <c r="AB37" s="7"/>
      <c r="AC37" s="7"/>
      <c r="AE37" s="7"/>
      <c r="AF37" s="7"/>
      <c r="AH37" s="7"/>
      <c r="AI37" s="7"/>
      <c r="AJ37" s="7"/>
      <c r="AK37" s="7"/>
      <c r="AL37" s="7"/>
      <c r="AM37" s="7"/>
      <c r="AO37" s="7"/>
      <c r="AP37" s="7"/>
      <c r="AR37" s="7"/>
      <c r="AS37" s="7"/>
      <c r="AT37" s="7"/>
      <c r="AU37" s="7"/>
      <c r="AV37" s="7"/>
      <c r="AW37" s="7"/>
      <c r="AX37" s="7"/>
      <c r="AY37" s="7"/>
      <c r="AZ37" s="7"/>
      <c r="BA37" s="7"/>
      <c r="BC37" s="7"/>
      <c r="BD37" s="7"/>
      <c r="BF37" s="7"/>
      <c r="BG37" s="7"/>
      <c r="BH37" s="7"/>
      <c r="BI37" s="7"/>
      <c r="BJ37" s="7"/>
      <c r="BK37" s="7"/>
      <c r="BL37" s="7"/>
      <c r="BM37" s="7"/>
      <c r="BN37" s="7"/>
      <c r="BO37" s="7"/>
      <c r="BP37" s="7"/>
      <c r="BQ37" s="7"/>
    </row>
    <row r="38" spans="2:69" ht="21.6" customHeight="1" x14ac:dyDescent="0.2">
      <c r="O38" s="23"/>
      <c r="P38" s="23"/>
      <c r="Q38" s="23"/>
      <c r="R38" s="23"/>
      <c r="S38" s="23"/>
      <c r="V38" s="7"/>
      <c r="W38" s="7"/>
      <c r="X38" s="7"/>
      <c r="Y38" s="7"/>
      <c r="Z38" s="7"/>
      <c r="AA38" s="7"/>
      <c r="AB38" s="7"/>
      <c r="AC38" s="7"/>
      <c r="AE38" s="7"/>
      <c r="AF38" s="7"/>
      <c r="AH38" s="7"/>
      <c r="AI38" s="7"/>
      <c r="AJ38" s="7"/>
      <c r="AK38" s="7"/>
      <c r="AL38" s="7"/>
      <c r="AM38" s="7"/>
      <c r="AO38" s="7"/>
      <c r="AP38" s="7"/>
      <c r="AR38" s="7"/>
      <c r="AS38" s="7"/>
      <c r="AT38" s="7"/>
      <c r="AU38" s="7"/>
      <c r="AV38" s="7"/>
      <c r="AW38" s="7"/>
      <c r="AX38" s="7"/>
      <c r="AY38" s="7"/>
      <c r="AZ38" s="7"/>
      <c r="BA38" s="7"/>
      <c r="BC38" s="7"/>
      <c r="BD38" s="7"/>
      <c r="BF38" s="7"/>
      <c r="BG38" s="7"/>
      <c r="BH38" s="7"/>
      <c r="BI38" s="7"/>
      <c r="BJ38" s="7"/>
      <c r="BK38" s="7"/>
      <c r="BL38" s="7"/>
      <c r="BM38" s="7"/>
      <c r="BN38" s="7"/>
      <c r="BO38" s="7"/>
      <c r="BP38" s="7"/>
      <c r="BQ38" s="7"/>
    </row>
    <row r="39" spans="2:69" ht="21.6" customHeight="1" x14ac:dyDescent="0.2">
      <c r="O39" s="23"/>
      <c r="P39" s="23"/>
      <c r="Q39" s="23"/>
      <c r="R39" s="23"/>
      <c r="S39" s="23"/>
      <c r="V39" s="7"/>
      <c r="W39" s="7"/>
      <c r="X39" s="7"/>
      <c r="Y39" s="7"/>
      <c r="Z39" s="7"/>
      <c r="AA39" s="7"/>
      <c r="AB39" s="7"/>
      <c r="AC39" s="7"/>
      <c r="AE39" s="7"/>
      <c r="AF39" s="7"/>
      <c r="AH39" s="7"/>
      <c r="AI39" s="7"/>
      <c r="AJ39" s="7"/>
      <c r="AK39" s="7"/>
      <c r="AL39" s="7"/>
      <c r="AM39" s="7"/>
      <c r="AO39" s="7"/>
      <c r="AP39" s="7"/>
      <c r="AR39" s="7"/>
      <c r="AS39" s="7"/>
      <c r="AT39" s="7"/>
      <c r="AU39" s="7"/>
      <c r="AV39" s="7"/>
      <c r="AW39" s="7"/>
      <c r="AX39" s="7"/>
      <c r="AY39" s="7"/>
      <c r="AZ39" s="7"/>
      <c r="BA39" s="7"/>
      <c r="BC39" s="7"/>
      <c r="BD39" s="7"/>
      <c r="BF39" s="7"/>
      <c r="BG39" s="7"/>
      <c r="BH39" s="7"/>
      <c r="BI39" s="7"/>
      <c r="BJ39" s="7"/>
      <c r="BK39" s="7"/>
      <c r="BL39" s="7"/>
      <c r="BM39" s="7"/>
      <c r="BN39" s="7"/>
      <c r="BO39" s="7"/>
      <c r="BP39" s="7"/>
      <c r="BQ39" s="7"/>
    </row>
    <row r="40" spans="2:69" ht="21.6" customHeight="1" x14ac:dyDescent="0.2">
      <c r="O40" s="23"/>
      <c r="P40" s="23"/>
      <c r="Q40" s="23"/>
      <c r="R40" s="23"/>
      <c r="S40" s="23"/>
      <c r="V40" s="7"/>
      <c r="W40" s="7"/>
      <c r="X40" s="7"/>
      <c r="Y40" s="7"/>
      <c r="Z40" s="7"/>
      <c r="AA40" s="7"/>
      <c r="AB40" s="7"/>
      <c r="AC40" s="7"/>
      <c r="AE40" s="7"/>
      <c r="AF40" s="7"/>
      <c r="AH40" s="7"/>
      <c r="AI40" s="7"/>
      <c r="AJ40" s="7"/>
      <c r="AK40" s="7"/>
      <c r="AL40" s="7"/>
      <c r="AM40" s="7"/>
      <c r="AO40" s="7"/>
      <c r="AP40" s="7"/>
      <c r="AR40" s="7"/>
      <c r="AS40" s="7"/>
      <c r="AT40" s="7"/>
      <c r="AU40" s="7"/>
      <c r="AV40" s="7"/>
      <c r="AW40" s="7"/>
      <c r="AX40" s="7"/>
      <c r="AY40" s="7"/>
      <c r="AZ40" s="7"/>
      <c r="BA40" s="7"/>
      <c r="BC40" s="7"/>
      <c r="BD40" s="7"/>
      <c r="BF40" s="7"/>
      <c r="BG40" s="7"/>
      <c r="BH40" s="7"/>
      <c r="BI40" s="7"/>
      <c r="BJ40" s="7"/>
      <c r="BK40" s="7"/>
      <c r="BL40" s="7"/>
      <c r="BM40" s="7"/>
      <c r="BN40" s="7"/>
      <c r="BO40" s="7"/>
      <c r="BP40" s="7"/>
      <c r="BQ40" s="7"/>
    </row>
    <row r="41" spans="2:69" ht="21.6" customHeight="1" x14ac:dyDescent="0.2">
      <c r="O41" s="23"/>
      <c r="P41" s="23"/>
      <c r="Q41" s="23"/>
      <c r="R41" s="23"/>
      <c r="S41" s="23"/>
      <c r="V41" s="7"/>
      <c r="W41" s="7"/>
      <c r="X41" s="7"/>
      <c r="Y41" s="7"/>
      <c r="Z41" s="7"/>
      <c r="AA41" s="7"/>
      <c r="AB41" s="7"/>
      <c r="AC41" s="7"/>
      <c r="AE41" s="7"/>
      <c r="AF41" s="7"/>
      <c r="AH41" s="7"/>
      <c r="AI41" s="7"/>
      <c r="AJ41" s="7"/>
      <c r="AK41" s="7"/>
      <c r="AL41" s="7"/>
      <c r="AM41" s="7"/>
      <c r="AO41" s="7"/>
      <c r="AP41" s="7"/>
      <c r="AR41" s="7"/>
      <c r="AS41" s="7"/>
      <c r="AT41" s="7"/>
      <c r="AU41" s="7"/>
      <c r="AV41" s="7"/>
      <c r="AW41" s="7"/>
      <c r="AX41" s="7"/>
      <c r="AY41" s="7"/>
      <c r="AZ41" s="7"/>
      <c r="BA41" s="7"/>
      <c r="BC41" s="7"/>
      <c r="BD41" s="7"/>
      <c r="BF41" s="7"/>
      <c r="BG41" s="7"/>
      <c r="BH41" s="7"/>
      <c r="BI41" s="7"/>
      <c r="BJ41" s="7"/>
      <c r="BK41" s="7"/>
      <c r="BL41" s="7"/>
      <c r="BM41" s="7"/>
      <c r="BN41" s="7"/>
      <c r="BO41" s="7"/>
      <c r="BP41" s="7"/>
      <c r="BQ41" s="7"/>
    </row>
    <row r="42" spans="2:69" ht="21.6" customHeight="1" x14ac:dyDescent="0.2">
      <c r="O42" s="23"/>
      <c r="P42" s="23"/>
      <c r="Q42" s="23"/>
      <c r="R42" s="23"/>
      <c r="S42" s="23"/>
      <c r="V42" s="7"/>
      <c r="W42" s="7"/>
      <c r="X42" s="7"/>
      <c r="Y42" s="7"/>
      <c r="Z42" s="7"/>
      <c r="AA42" s="7"/>
      <c r="AB42" s="7"/>
      <c r="AC42" s="7"/>
      <c r="AE42" s="7"/>
      <c r="AF42" s="7"/>
      <c r="AH42" s="7"/>
      <c r="AI42" s="7"/>
      <c r="AJ42" s="7"/>
      <c r="AK42" s="7"/>
      <c r="AL42" s="7"/>
      <c r="AM42" s="7"/>
      <c r="AO42" s="7"/>
      <c r="AP42" s="7"/>
      <c r="AR42" s="7"/>
      <c r="AS42" s="7"/>
      <c r="AT42" s="7"/>
      <c r="AU42" s="7"/>
      <c r="AV42" s="7"/>
      <c r="AW42" s="7"/>
      <c r="AX42" s="7"/>
      <c r="AY42" s="7"/>
      <c r="AZ42" s="7"/>
      <c r="BA42" s="7"/>
      <c r="BC42" s="7"/>
      <c r="BD42" s="7"/>
      <c r="BF42" s="7"/>
      <c r="BG42" s="7"/>
      <c r="BH42" s="7"/>
      <c r="BI42" s="7"/>
      <c r="BJ42" s="7"/>
      <c r="BK42" s="7"/>
      <c r="BL42" s="7"/>
      <c r="BM42" s="7"/>
      <c r="BN42" s="7"/>
      <c r="BO42" s="7"/>
      <c r="BP42" s="7"/>
      <c r="BQ42" s="7"/>
    </row>
    <row r="43" spans="2:69" ht="21.6" customHeight="1" x14ac:dyDescent="0.2">
      <c r="O43" s="23"/>
      <c r="P43" s="23"/>
      <c r="Q43" s="23"/>
      <c r="R43" s="23"/>
      <c r="S43" s="23"/>
      <c r="V43" s="7"/>
      <c r="W43" s="7"/>
      <c r="X43" s="7"/>
      <c r="Y43" s="7"/>
      <c r="Z43" s="7"/>
      <c r="AA43" s="7"/>
      <c r="AB43" s="7"/>
      <c r="AC43" s="7"/>
      <c r="AE43" s="7"/>
      <c r="AF43" s="7"/>
      <c r="AH43" s="7"/>
      <c r="AI43" s="7"/>
      <c r="AJ43" s="7"/>
      <c r="AK43" s="7"/>
      <c r="AL43" s="7"/>
      <c r="AM43" s="7"/>
      <c r="AO43" s="7"/>
      <c r="AP43" s="7"/>
      <c r="AR43" s="7"/>
      <c r="AS43" s="7"/>
      <c r="AT43" s="7"/>
      <c r="AU43" s="7"/>
      <c r="AV43" s="7"/>
      <c r="AW43" s="7"/>
      <c r="AX43" s="7"/>
      <c r="AY43" s="7"/>
      <c r="AZ43" s="7"/>
      <c r="BA43" s="7"/>
      <c r="BC43" s="7"/>
      <c r="BD43" s="7"/>
      <c r="BF43" s="7"/>
      <c r="BG43" s="7"/>
      <c r="BH43" s="7"/>
      <c r="BI43" s="7"/>
      <c r="BJ43" s="7"/>
      <c r="BK43" s="7"/>
      <c r="BL43" s="7"/>
      <c r="BM43" s="7"/>
      <c r="BN43" s="7"/>
      <c r="BO43" s="7"/>
      <c r="BP43" s="7"/>
      <c r="BQ43" s="7"/>
    </row>
    <row r="44" spans="2:69" ht="21.6" customHeight="1" x14ac:dyDescent="0.2">
      <c r="O44" s="23"/>
      <c r="P44" s="23"/>
      <c r="Q44" s="23"/>
      <c r="R44" s="23"/>
      <c r="S44" s="23"/>
      <c r="V44" s="7"/>
      <c r="W44" s="7"/>
      <c r="X44" s="7"/>
      <c r="Y44" s="7"/>
      <c r="Z44" s="7"/>
      <c r="AA44" s="7"/>
      <c r="AB44" s="7"/>
      <c r="AC44" s="7"/>
      <c r="AE44" s="7"/>
      <c r="AF44" s="7"/>
      <c r="AH44" s="7"/>
      <c r="AI44" s="7"/>
      <c r="AJ44" s="7"/>
      <c r="AK44" s="7"/>
      <c r="AL44" s="7"/>
      <c r="AM44" s="7"/>
      <c r="AO44" s="7"/>
      <c r="AP44" s="7"/>
      <c r="AR44" s="7"/>
      <c r="AS44" s="7"/>
      <c r="AT44" s="7"/>
      <c r="AU44" s="7"/>
      <c r="AV44" s="7"/>
      <c r="AW44" s="7"/>
      <c r="AX44" s="7"/>
      <c r="AY44" s="7"/>
      <c r="AZ44" s="7"/>
      <c r="BA44" s="7"/>
      <c r="BC44" s="7"/>
      <c r="BD44" s="7"/>
      <c r="BF44" s="7"/>
      <c r="BG44" s="7"/>
      <c r="BH44" s="7"/>
      <c r="BI44" s="7"/>
      <c r="BJ44" s="7"/>
      <c r="BK44" s="7"/>
      <c r="BL44" s="7"/>
      <c r="BM44" s="7"/>
      <c r="BN44" s="7"/>
      <c r="BO44" s="7"/>
      <c r="BP44" s="7"/>
      <c r="BQ44" s="7"/>
    </row>
    <row r="45" spans="2:69" ht="21.6" customHeight="1" x14ac:dyDescent="0.2">
      <c r="O45" s="23"/>
      <c r="P45" s="23"/>
      <c r="Q45" s="23"/>
      <c r="R45" s="23"/>
      <c r="S45" s="23"/>
      <c r="V45" s="7"/>
      <c r="W45" s="7"/>
      <c r="X45" s="7"/>
      <c r="Y45" s="7"/>
      <c r="Z45" s="7"/>
      <c r="AA45" s="7"/>
      <c r="AB45" s="7"/>
      <c r="AC45" s="7"/>
      <c r="AE45" s="7"/>
      <c r="AF45" s="7"/>
      <c r="AH45" s="7"/>
      <c r="AI45" s="7"/>
      <c r="AJ45" s="7"/>
      <c r="AK45" s="7"/>
      <c r="AL45" s="7"/>
      <c r="AM45" s="7"/>
      <c r="AO45" s="7"/>
      <c r="AP45" s="7"/>
      <c r="AR45" s="7"/>
      <c r="AS45" s="7"/>
      <c r="AT45" s="7"/>
      <c r="AU45" s="7"/>
      <c r="AV45" s="7"/>
      <c r="AW45" s="7"/>
      <c r="AX45" s="7"/>
      <c r="AY45" s="7"/>
      <c r="AZ45" s="7"/>
      <c r="BA45" s="7"/>
      <c r="BC45" s="7"/>
      <c r="BD45" s="7"/>
      <c r="BF45" s="7"/>
      <c r="BG45" s="7"/>
      <c r="BH45" s="7"/>
      <c r="BI45" s="7"/>
      <c r="BJ45" s="7"/>
      <c r="BK45" s="7"/>
      <c r="BL45" s="7"/>
      <c r="BM45" s="7"/>
      <c r="BN45" s="7"/>
      <c r="BO45" s="7"/>
      <c r="BP45" s="7"/>
      <c r="BQ45" s="7"/>
    </row>
    <row r="46" spans="2:69" ht="21.6" customHeight="1" x14ac:dyDescent="0.2">
      <c r="O46" s="23"/>
      <c r="P46" s="23"/>
      <c r="Q46" s="23"/>
      <c r="R46" s="23"/>
      <c r="S46" s="23"/>
      <c r="V46" s="7"/>
      <c r="W46" s="7"/>
      <c r="X46" s="7"/>
      <c r="Y46" s="7"/>
      <c r="Z46" s="7"/>
      <c r="AA46" s="7"/>
      <c r="AB46" s="7"/>
      <c r="AC46" s="7"/>
      <c r="AE46" s="7"/>
      <c r="AF46" s="7"/>
      <c r="AH46" s="7"/>
      <c r="AI46" s="7"/>
      <c r="AJ46" s="7"/>
      <c r="AK46" s="7"/>
      <c r="AL46" s="7"/>
      <c r="AM46" s="7"/>
      <c r="AO46" s="7"/>
      <c r="AP46" s="7"/>
      <c r="AR46" s="7"/>
      <c r="AS46" s="7"/>
      <c r="AT46" s="7"/>
      <c r="AU46" s="7"/>
      <c r="AV46" s="7"/>
      <c r="AW46" s="7"/>
      <c r="AX46" s="7"/>
      <c r="AY46" s="7"/>
      <c r="AZ46" s="7"/>
      <c r="BA46" s="7"/>
      <c r="BC46" s="7"/>
      <c r="BD46" s="7"/>
      <c r="BF46" s="7"/>
      <c r="BG46" s="7"/>
      <c r="BH46" s="7"/>
      <c r="BI46" s="7"/>
      <c r="BJ46" s="7"/>
      <c r="BK46" s="7"/>
      <c r="BL46" s="7"/>
      <c r="BM46" s="7"/>
      <c r="BN46" s="7"/>
      <c r="BO46" s="7"/>
      <c r="BP46" s="7"/>
      <c r="BQ46" s="7"/>
    </row>
    <row r="47" spans="2:69" ht="21.6" customHeight="1" x14ac:dyDescent="0.2">
      <c r="O47" s="23"/>
      <c r="P47" s="23"/>
      <c r="Q47" s="23"/>
      <c r="R47" s="23"/>
      <c r="S47" s="23"/>
      <c r="V47" s="7"/>
      <c r="W47" s="7"/>
      <c r="X47" s="7"/>
      <c r="Y47" s="7"/>
      <c r="Z47" s="7"/>
      <c r="AA47" s="7"/>
      <c r="AB47" s="7"/>
      <c r="AC47" s="7"/>
      <c r="AE47" s="7"/>
      <c r="AF47" s="7"/>
      <c r="AH47" s="7"/>
      <c r="AI47" s="7"/>
      <c r="AJ47" s="7"/>
      <c r="AK47" s="7"/>
      <c r="AL47" s="7"/>
      <c r="AM47" s="7"/>
      <c r="AO47" s="7"/>
      <c r="AP47" s="7"/>
      <c r="AR47" s="7"/>
      <c r="AS47" s="7"/>
      <c r="AT47" s="7"/>
      <c r="AU47" s="7"/>
      <c r="AV47" s="7"/>
      <c r="AW47" s="7"/>
      <c r="AX47" s="7"/>
      <c r="AY47" s="7"/>
      <c r="AZ47" s="7"/>
      <c r="BA47" s="7"/>
      <c r="BC47" s="7"/>
      <c r="BD47" s="7"/>
      <c r="BF47" s="7"/>
      <c r="BG47" s="7"/>
      <c r="BH47" s="7"/>
      <c r="BI47" s="7"/>
      <c r="BJ47" s="7"/>
      <c r="BK47" s="7"/>
      <c r="BL47" s="7"/>
      <c r="BM47" s="7"/>
      <c r="BN47" s="7"/>
      <c r="BO47" s="7"/>
      <c r="BP47" s="7"/>
      <c r="BQ47" s="7"/>
    </row>
    <row r="48" spans="2:69" ht="21.6" customHeight="1" x14ac:dyDescent="0.2">
      <c r="O48" s="23"/>
      <c r="P48" s="23"/>
      <c r="Q48" s="23"/>
      <c r="R48" s="23"/>
      <c r="S48" s="23"/>
      <c r="V48" s="7"/>
      <c r="W48" s="7"/>
      <c r="X48" s="7"/>
      <c r="Y48" s="7"/>
      <c r="Z48" s="7"/>
      <c r="AA48" s="7"/>
      <c r="AB48" s="7"/>
      <c r="AC48" s="7"/>
      <c r="AE48" s="7"/>
      <c r="AF48" s="7"/>
      <c r="AH48" s="7"/>
      <c r="AI48" s="7"/>
      <c r="AJ48" s="7"/>
      <c r="AK48" s="7"/>
      <c r="AL48" s="7"/>
      <c r="AM48" s="7"/>
      <c r="AO48" s="7"/>
      <c r="AP48" s="7"/>
      <c r="AR48" s="7"/>
      <c r="AS48" s="7"/>
      <c r="AT48" s="7"/>
      <c r="AU48" s="7"/>
      <c r="AV48" s="7"/>
      <c r="AW48" s="7"/>
      <c r="AX48" s="7"/>
      <c r="AY48" s="7"/>
      <c r="AZ48" s="7"/>
      <c r="BA48" s="7"/>
      <c r="BC48" s="7"/>
      <c r="BD48" s="7"/>
      <c r="BF48" s="7"/>
      <c r="BG48" s="7"/>
      <c r="BH48" s="7"/>
      <c r="BI48" s="7"/>
      <c r="BJ48" s="7"/>
      <c r="BK48" s="7"/>
      <c r="BL48" s="7"/>
      <c r="BM48" s="7"/>
      <c r="BN48" s="7"/>
      <c r="BO48" s="7"/>
      <c r="BP48" s="7"/>
      <c r="BQ48" s="7"/>
    </row>
    <row r="49" spans="1:69" ht="21.6" customHeight="1" x14ac:dyDescent="0.2">
      <c r="M49" s="7"/>
      <c r="N49" s="7"/>
      <c r="O49" s="23"/>
      <c r="P49" s="23"/>
      <c r="Q49" s="23"/>
      <c r="R49" s="23"/>
      <c r="S49" s="23"/>
      <c r="V49" s="7"/>
      <c r="W49" s="7"/>
      <c r="X49" s="7"/>
      <c r="Y49" s="7"/>
      <c r="Z49" s="7"/>
      <c r="AA49" s="7"/>
      <c r="AB49" s="7"/>
      <c r="AC49" s="7"/>
      <c r="AE49" s="7"/>
      <c r="AF49" s="7"/>
      <c r="AH49" s="7"/>
      <c r="AI49" s="7"/>
      <c r="AJ49" s="7"/>
      <c r="AK49" s="7"/>
      <c r="AL49" s="7"/>
      <c r="AM49" s="7"/>
      <c r="AO49" s="7"/>
      <c r="AP49" s="7"/>
      <c r="AR49" s="7"/>
      <c r="AS49" s="7"/>
      <c r="AT49" s="7"/>
      <c r="AU49" s="7"/>
      <c r="AV49" s="7"/>
      <c r="AW49" s="7"/>
      <c r="AX49" s="7"/>
      <c r="AY49" s="7"/>
      <c r="AZ49" s="7"/>
      <c r="BA49" s="7"/>
      <c r="BC49" s="7"/>
      <c r="BD49" s="7"/>
      <c r="BF49" s="7"/>
      <c r="BG49" s="7"/>
      <c r="BH49" s="7"/>
      <c r="BI49" s="7"/>
      <c r="BJ49" s="7"/>
      <c r="BK49" s="7"/>
      <c r="BL49" s="7"/>
      <c r="BM49" s="7"/>
      <c r="BN49" s="7"/>
      <c r="BO49" s="7"/>
      <c r="BP49" s="7"/>
      <c r="BQ49" s="7"/>
    </row>
    <row r="50" spans="1:69" ht="21.6" customHeight="1" x14ac:dyDescent="0.2">
      <c r="B50" s="7"/>
      <c r="C50" s="7"/>
      <c r="D50" s="7"/>
      <c r="F50" s="7"/>
      <c r="M50" s="7"/>
      <c r="N50" s="7"/>
      <c r="O50" s="23"/>
      <c r="P50" s="23"/>
      <c r="Q50" s="23"/>
      <c r="R50" s="23"/>
      <c r="S50" s="23"/>
      <c r="V50" s="7"/>
      <c r="W50" s="7"/>
      <c r="X50" s="7"/>
      <c r="Y50" s="7"/>
      <c r="Z50" s="7"/>
      <c r="AA50" s="7"/>
      <c r="AB50" s="7"/>
      <c r="AC50" s="7"/>
      <c r="AE50" s="7"/>
      <c r="AF50" s="7"/>
      <c r="AH50" s="7"/>
      <c r="AI50" s="7"/>
      <c r="AJ50" s="7"/>
      <c r="AK50" s="7"/>
      <c r="AL50" s="7"/>
      <c r="AM50" s="7"/>
      <c r="AO50" s="7"/>
      <c r="AP50" s="7"/>
      <c r="AR50" s="7"/>
      <c r="AS50" s="7"/>
      <c r="AT50" s="7"/>
      <c r="AU50" s="7"/>
      <c r="AV50" s="7"/>
      <c r="AW50" s="7"/>
      <c r="AX50" s="7"/>
      <c r="AY50" s="7"/>
      <c r="AZ50" s="7"/>
      <c r="BA50" s="7"/>
      <c r="BC50" s="7"/>
      <c r="BD50" s="7"/>
      <c r="BF50" s="7"/>
      <c r="BG50" s="7"/>
      <c r="BH50" s="7"/>
      <c r="BI50" s="7"/>
      <c r="BJ50" s="7"/>
      <c r="BK50" s="7"/>
      <c r="BL50" s="7"/>
      <c r="BM50" s="7"/>
      <c r="BN50" s="7"/>
      <c r="BO50" s="7"/>
      <c r="BP50" s="7"/>
      <c r="BQ50" s="7"/>
    </row>
    <row r="51" spans="1:69" ht="21.6" customHeight="1" x14ac:dyDescent="0.2">
      <c r="B51" s="7"/>
      <c r="C51" s="7"/>
      <c r="D51" s="7"/>
      <c r="F51" s="7"/>
      <c r="L51" s="7"/>
      <c r="M51" s="7"/>
      <c r="N51" s="7"/>
      <c r="O51" s="23"/>
      <c r="P51" s="23"/>
      <c r="Q51" s="23"/>
      <c r="R51" s="23"/>
      <c r="S51" s="23"/>
      <c r="V51" s="7"/>
      <c r="W51" s="7"/>
      <c r="X51" s="7"/>
      <c r="Y51" s="7"/>
      <c r="Z51" s="7"/>
      <c r="AA51" s="7"/>
      <c r="AB51" s="7"/>
      <c r="AC51" s="7"/>
      <c r="AE51" s="7"/>
      <c r="AF51" s="7"/>
      <c r="AH51" s="7"/>
      <c r="AI51" s="7"/>
      <c r="AJ51" s="7"/>
      <c r="AK51" s="7"/>
      <c r="AL51" s="7"/>
      <c r="AM51" s="7"/>
      <c r="AO51" s="7"/>
      <c r="AP51" s="7"/>
      <c r="AR51" s="7"/>
      <c r="AS51" s="7"/>
      <c r="AT51" s="7"/>
      <c r="AU51" s="7"/>
      <c r="AV51" s="7"/>
      <c r="AW51" s="7"/>
      <c r="AX51" s="7"/>
      <c r="AY51" s="7"/>
      <c r="AZ51" s="7"/>
      <c r="BA51" s="7"/>
      <c r="BC51" s="7"/>
      <c r="BD51" s="7"/>
      <c r="BF51" s="7"/>
      <c r="BG51" s="7"/>
      <c r="BH51" s="7"/>
      <c r="BI51" s="7"/>
      <c r="BJ51" s="7"/>
      <c r="BK51" s="7"/>
      <c r="BL51" s="7"/>
      <c r="BM51" s="7"/>
      <c r="BN51" s="7"/>
      <c r="BO51" s="7"/>
      <c r="BP51" s="7"/>
      <c r="BQ51" s="7"/>
    </row>
    <row r="52" spans="1:69" ht="21.6" customHeight="1" x14ac:dyDescent="0.2">
      <c r="A52" s="7"/>
      <c r="B52" s="7"/>
      <c r="C52" s="7"/>
      <c r="D52" s="7"/>
      <c r="F52" s="7"/>
      <c r="L52" s="7"/>
      <c r="V52" s="7"/>
      <c r="W52" s="7"/>
      <c r="X52" s="7"/>
      <c r="Y52" s="7"/>
      <c r="Z52" s="7"/>
      <c r="AA52" s="7"/>
      <c r="AB52" s="7"/>
      <c r="AC52" s="7"/>
      <c r="AE52" s="7"/>
      <c r="AF52" s="7"/>
      <c r="AG52" s="32"/>
      <c r="AH52" s="32"/>
      <c r="AO52" s="7"/>
      <c r="BC52" s="7"/>
      <c r="BP52" s="7"/>
      <c r="BQ52" s="7"/>
    </row>
    <row r="53" spans="1:69" ht="21.6" customHeight="1" x14ac:dyDescent="0.2">
      <c r="L53" s="7"/>
      <c r="AE53" s="7"/>
    </row>
  </sheetData>
  <sheetProtection algorithmName="SHA-512" hashValue="+U9lj+NcH5fmLzf8CT8E2fVuBO4BXEhxu6pWNt71KhYR+fd7GgiN5mBXr07g+qXY7Ny2XK/nkchYHwmnzp1tew==" saltValue="/NsqmJAcShvgNNMZna/+YQ==" spinCount="100000" sheet="1" objects="1" scenarios="1"/>
  <mergeCells count="54">
    <mergeCell ref="B34:B36"/>
    <mergeCell ref="BD16:BD21"/>
    <mergeCell ref="BD22:BD24"/>
    <mergeCell ref="BD26:BP27"/>
    <mergeCell ref="AP26:BB27"/>
    <mergeCell ref="AP22:AP24"/>
    <mergeCell ref="AP16:AP21"/>
    <mergeCell ref="AF22:AF24"/>
    <mergeCell ref="AF16:AF21"/>
    <mergeCell ref="AL3:AM3"/>
    <mergeCell ref="AP5:AP7"/>
    <mergeCell ref="AP8:AP15"/>
    <mergeCell ref="BR11:BX14"/>
    <mergeCell ref="AT3:AU3"/>
    <mergeCell ref="AR3:AS3"/>
    <mergeCell ref="AV3:AW3"/>
    <mergeCell ref="AX3:AY3"/>
    <mergeCell ref="AZ3:BA3"/>
    <mergeCell ref="BD5:BD7"/>
    <mergeCell ref="BH3:BI3"/>
    <mergeCell ref="BF3:BG3"/>
    <mergeCell ref="BJ3:BK3"/>
    <mergeCell ref="BL3:BM3"/>
    <mergeCell ref="BN3:BO3"/>
    <mergeCell ref="BD8:BD15"/>
    <mergeCell ref="X3:Y3"/>
    <mergeCell ref="Z3:AA3"/>
    <mergeCell ref="AB3:AC3"/>
    <mergeCell ref="AF5:AF7"/>
    <mergeCell ref="AJ3:AK3"/>
    <mergeCell ref="AH3:AI3"/>
    <mergeCell ref="AF8:AF15"/>
    <mergeCell ref="V8:V15"/>
    <mergeCell ref="V5:V7"/>
    <mergeCell ref="A26:F27"/>
    <mergeCell ref="H26:K26"/>
    <mergeCell ref="M26:T27"/>
    <mergeCell ref="V16:V21"/>
    <mergeCell ref="V22:V24"/>
    <mergeCell ref="V26:AD27"/>
    <mergeCell ref="A16:A21"/>
    <mergeCell ref="H16:H21"/>
    <mergeCell ref="M16:M21"/>
    <mergeCell ref="M22:M24"/>
    <mergeCell ref="H22:H24"/>
    <mergeCell ref="A22:A24"/>
    <mergeCell ref="AF26:AN27"/>
    <mergeCell ref="A1:F1"/>
    <mergeCell ref="A5:A7"/>
    <mergeCell ref="H5:H7"/>
    <mergeCell ref="M5:M7"/>
    <mergeCell ref="M8:M15"/>
    <mergeCell ref="H8:H15"/>
    <mergeCell ref="A8: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1"/>
  <sheetViews>
    <sheetView showGridLines="0" showRuler="0" workbookViewId="0">
      <selection activeCell="J37" sqref="J37"/>
    </sheetView>
  </sheetViews>
  <sheetFormatPr defaultColWidth="13.140625" defaultRowHeight="12.75" x14ac:dyDescent="0.2"/>
  <cols>
    <col min="1" max="1" width="20.42578125" customWidth="1"/>
    <col min="2" max="2" width="20.85546875" customWidth="1"/>
    <col min="4" max="4" width="24.28515625" customWidth="1"/>
  </cols>
  <sheetData>
    <row r="1" spans="1:14" ht="15" customHeight="1" x14ac:dyDescent="0.25">
      <c r="A1" s="560" t="s">
        <v>574</v>
      </c>
      <c r="B1" s="560"/>
      <c r="C1" s="560"/>
    </row>
    <row r="2" spans="1:14" x14ac:dyDescent="0.2">
      <c r="A2" s="7"/>
    </row>
    <row r="3" spans="1:14" x14ac:dyDescent="0.2">
      <c r="A3" s="86"/>
      <c r="B3" s="86"/>
      <c r="C3" s="393"/>
      <c r="D3" s="7"/>
      <c r="E3" s="7"/>
      <c r="F3" s="7"/>
      <c r="G3" s="7"/>
      <c r="H3" s="7"/>
      <c r="I3" s="7"/>
    </row>
    <row r="4" spans="1:14" ht="39.950000000000003" customHeight="1" x14ac:dyDescent="0.2">
      <c r="A4" s="270" t="s">
        <v>575</v>
      </c>
      <c r="B4" s="271" t="s">
        <v>576</v>
      </c>
      <c r="C4" s="407" t="s">
        <v>577</v>
      </c>
      <c r="D4" s="7"/>
      <c r="E4" s="7"/>
      <c r="F4" s="7"/>
      <c r="G4" s="7"/>
      <c r="H4" s="7"/>
      <c r="I4" s="7"/>
    </row>
    <row r="5" spans="1:14" ht="15" customHeight="1" x14ac:dyDescent="0.2">
      <c r="A5" s="82" t="s">
        <v>578</v>
      </c>
      <c r="B5" s="272">
        <v>87</v>
      </c>
      <c r="C5" s="408">
        <v>246</v>
      </c>
      <c r="D5" s="7"/>
      <c r="E5" s="7"/>
      <c r="F5" s="7"/>
      <c r="G5" s="7"/>
      <c r="H5" s="7"/>
      <c r="I5" s="7"/>
    </row>
    <row r="6" spans="1:14" ht="15" customHeight="1" x14ac:dyDescent="0.2">
      <c r="A6" s="82" t="s">
        <v>76</v>
      </c>
      <c r="B6" s="272">
        <v>0</v>
      </c>
      <c r="C6" s="408">
        <v>697</v>
      </c>
      <c r="D6" s="7"/>
      <c r="E6" s="7"/>
      <c r="F6" s="7"/>
      <c r="G6" s="7"/>
      <c r="H6" s="7"/>
      <c r="I6" s="7"/>
    </row>
    <row r="7" spans="1:14" ht="15" customHeight="1" x14ac:dyDescent="0.2">
      <c r="A7" s="82" t="s">
        <v>579</v>
      </c>
      <c r="B7" s="272">
        <v>528</v>
      </c>
      <c r="C7" s="408">
        <v>109897</v>
      </c>
      <c r="D7" s="7"/>
      <c r="E7" s="7"/>
      <c r="F7" s="7"/>
      <c r="G7" s="7"/>
      <c r="H7" s="7"/>
      <c r="I7" s="7"/>
      <c r="N7" s="7"/>
    </row>
    <row r="8" spans="1:14" ht="15" customHeight="1" x14ac:dyDescent="0.2">
      <c r="A8" s="82" t="s">
        <v>580</v>
      </c>
      <c r="B8" s="272">
        <v>1274</v>
      </c>
      <c r="C8" s="408">
        <v>78462</v>
      </c>
      <c r="D8" s="7"/>
      <c r="E8" s="7"/>
      <c r="F8" s="7"/>
      <c r="G8" s="7"/>
      <c r="H8" s="7"/>
      <c r="I8" s="7"/>
    </row>
    <row r="9" spans="1:14" ht="15" customHeight="1" x14ac:dyDescent="0.2">
      <c r="A9" s="684" t="s">
        <v>581</v>
      </c>
      <c r="B9" s="684"/>
      <c r="C9" s="685"/>
      <c r="D9" s="7"/>
      <c r="E9" s="7"/>
      <c r="F9" s="7"/>
      <c r="G9" s="7"/>
      <c r="H9" s="7"/>
      <c r="I9" s="7"/>
    </row>
    <row r="10" spans="1:14" ht="15" customHeight="1" x14ac:dyDescent="0.2">
      <c r="A10" s="686"/>
      <c r="B10" s="686"/>
      <c r="C10" s="686"/>
      <c r="D10" s="7"/>
      <c r="E10" s="7"/>
      <c r="F10" s="7"/>
      <c r="G10" s="7"/>
      <c r="H10" s="7"/>
      <c r="I10" s="7"/>
    </row>
    <row r="11" spans="1:14" ht="15" customHeight="1" x14ac:dyDescent="0.2">
      <c r="A11" s="7"/>
      <c r="B11" s="7"/>
      <c r="C11" s="7"/>
      <c r="D11" s="7"/>
      <c r="E11" s="7"/>
      <c r="F11" s="7"/>
      <c r="G11" s="7"/>
      <c r="H11" s="7"/>
      <c r="I11" s="7"/>
    </row>
    <row r="12" spans="1:14" ht="15" customHeight="1" x14ac:dyDescent="0.2">
      <c r="A12" s="7"/>
      <c r="B12" s="7"/>
      <c r="C12" s="7"/>
      <c r="D12" s="7"/>
      <c r="E12" s="7"/>
      <c r="F12" s="7"/>
      <c r="G12" s="7"/>
      <c r="H12" s="7"/>
      <c r="I12" s="7"/>
    </row>
    <row r="13" spans="1:14" ht="15" customHeight="1" x14ac:dyDescent="0.2">
      <c r="A13" s="7"/>
      <c r="B13" s="7"/>
      <c r="C13" s="7"/>
      <c r="D13" s="7"/>
      <c r="E13" s="7"/>
      <c r="F13" s="7"/>
      <c r="G13" s="7"/>
      <c r="H13" s="7"/>
      <c r="I13" s="7"/>
    </row>
    <row r="14" spans="1:14" ht="15" customHeight="1" x14ac:dyDescent="0.2">
      <c r="A14" s="7"/>
      <c r="B14" s="7"/>
      <c r="C14" s="7"/>
      <c r="D14" s="7"/>
      <c r="E14" s="7"/>
      <c r="F14" s="7"/>
      <c r="G14" s="7"/>
      <c r="H14" s="7"/>
      <c r="I14" s="7"/>
    </row>
    <row r="15" spans="1:14" ht="15" customHeight="1" x14ac:dyDescent="0.2">
      <c r="A15" s="7"/>
      <c r="B15" s="7"/>
      <c r="C15" s="7"/>
      <c r="D15" s="7"/>
      <c r="E15" s="7"/>
      <c r="F15" s="7"/>
      <c r="G15" s="7"/>
      <c r="H15" s="7"/>
      <c r="I15" s="7"/>
    </row>
    <row r="16" spans="1:14" ht="15" customHeight="1" x14ac:dyDescent="0.2">
      <c r="A16" s="7"/>
      <c r="B16" s="7"/>
      <c r="C16" s="7"/>
      <c r="D16" s="7"/>
      <c r="E16" s="7"/>
      <c r="F16" s="7"/>
      <c r="G16" s="7"/>
      <c r="H16" s="7"/>
      <c r="I16" s="7"/>
    </row>
    <row r="17" spans="1:9" ht="15" customHeight="1" x14ac:dyDescent="0.2">
      <c r="A17" s="7"/>
      <c r="B17" s="7"/>
      <c r="C17" s="7"/>
      <c r="D17" s="7"/>
      <c r="E17" s="7"/>
      <c r="F17" s="7"/>
      <c r="G17" s="7"/>
      <c r="H17" s="7"/>
      <c r="I17" s="7"/>
    </row>
    <row r="18" spans="1:9" ht="15" customHeight="1" x14ac:dyDescent="0.2">
      <c r="A18" s="7"/>
      <c r="B18" s="7"/>
      <c r="C18" s="7"/>
      <c r="D18" s="7"/>
      <c r="E18" s="7"/>
      <c r="F18" s="7"/>
      <c r="G18" s="7"/>
      <c r="H18" s="7"/>
      <c r="I18" s="7"/>
    </row>
    <row r="19" spans="1:9" ht="15" customHeight="1" x14ac:dyDescent="0.2">
      <c r="A19" s="7"/>
      <c r="B19" s="7"/>
      <c r="C19" s="7"/>
      <c r="D19" s="7"/>
      <c r="E19" s="7"/>
      <c r="F19" s="7"/>
      <c r="G19" s="7"/>
      <c r="H19" s="7"/>
      <c r="I19" s="7"/>
    </row>
    <row r="20" spans="1:9" ht="15" customHeight="1" x14ac:dyDescent="0.2">
      <c r="A20" s="7"/>
      <c r="B20" s="7"/>
      <c r="C20" s="7"/>
      <c r="D20" s="7"/>
      <c r="E20" s="7"/>
      <c r="F20" s="7"/>
      <c r="G20" s="7"/>
      <c r="H20" s="7"/>
      <c r="I20" s="7"/>
    </row>
    <row r="21" spans="1:9" ht="15" customHeight="1" x14ac:dyDescent="0.2">
      <c r="A21" s="7"/>
      <c r="B21" s="7"/>
      <c r="C21" s="7"/>
      <c r="D21" s="7"/>
      <c r="E21" s="7"/>
      <c r="F21" s="7"/>
      <c r="G21" s="7"/>
      <c r="H21" s="7"/>
      <c r="I21" s="7"/>
    </row>
    <row r="22" spans="1:9" ht="15" customHeight="1" x14ac:dyDescent="0.2">
      <c r="A22" s="7"/>
      <c r="B22" s="7"/>
      <c r="C22" s="7"/>
      <c r="D22" s="7"/>
      <c r="E22" s="7"/>
      <c r="F22" s="7"/>
      <c r="G22" s="7"/>
      <c r="H22" s="7"/>
      <c r="I22" s="7"/>
    </row>
    <row r="23" spans="1:9" ht="15" customHeight="1" x14ac:dyDescent="0.2">
      <c r="A23" s="7"/>
      <c r="B23" s="7"/>
      <c r="C23" s="7"/>
      <c r="D23" s="7"/>
      <c r="E23" s="7"/>
      <c r="F23" s="7"/>
      <c r="G23" s="7"/>
      <c r="H23" s="7"/>
      <c r="I23" s="7"/>
    </row>
    <row r="24" spans="1:9" ht="15" customHeight="1" x14ac:dyDescent="0.2">
      <c r="A24" s="7"/>
      <c r="B24" s="7"/>
      <c r="C24" s="7"/>
      <c r="D24" s="7"/>
      <c r="E24" s="7"/>
      <c r="F24" s="7"/>
      <c r="G24" s="7"/>
      <c r="H24" s="7"/>
      <c r="I24" s="7"/>
    </row>
    <row r="25" spans="1:9" ht="15" customHeight="1" x14ac:dyDescent="0.2">
      <c r="A25" s="7"/>
      <c r="B25" s="7"/>
      <c r="C25" s="7"/>
      <c r="D25" s="7"/>
      <c r="E25" s="7"/>
      <c r="F25" s="7"/>
      <c r="G25" s="7"/>
      <c r="H25" s="7"/>
      <c r="I25" s="7"/>
    </row>
    <row r="26" spans="1:9" ht="15" customHeight="1" x14ac:dyDescent="0.2">
      <c r="A26" s="7"/>
      <c r="B26" s="7"/>
      <c r="C26" s="7"/>
      <c r="D26" s="7"/>
      <c r="E26" s="7"/>
      <c r="F26" s="7"/>
      <c r="G26" s="7"/>
      <c r="H26" s="7"/>
      <c r="I26" s="7"/>
    </row>
    <row r="27" spans="1:9" ht="15" customHeight="1" x14ac:dyDescent="0.2">
      <c r="A27" s="7"/>
      <c r="B27" s="7"/>
      <c r="C27" s="7"/>
      <c r="D27" s="7"/>
      <c r="E27" s="7"/>
      <c r="F27" s="7"/>
      <c r="G27" s="7"/>
      <c r="H27" s="7"/>
      <c r="I27" s="7"/>
    </row>
    <row r="28" spans="1:9" ht="15" customHeight="1" x14ac:dyDescent="0.2">
      <c r="A28" s="7"/>
      <c r="B28" s="7"/>
      <c r="C28" s="7"/>
      <c r="D28" s="7"/>
      <c r="E28" s="7"/>
      <c r="F28" s="7"/>
      <c r="G28" s="7"/>
      <c r="H28" s="7"/>
      <c r="I28" s="7"/>
    </row>
    <row r="29" spans="1:9" ht="15" customHeight="1" x14ac:dyDescent="0.2">
      <c r="A29" s="7"/>
      <c r="B29" s="7"/>
      <c r="C29" s="7"/>
      <c r="D29" s="7"/>
      <c r="E29" s="7"/>
      <c r="F29" s="7"/>
      <c r="G29" s="7"/>
      <c r="H29" s="7"/>
      <c r="I29" s="7"/>
    </row>
    <row r="30" spans="1:9" ht="15" customHeight="1" x14ac:dyDescent="0.2">
      <c r="A30" s="7"/>
    </row>
    <row r="31" spans="1:9" ht="15" customHeight="1" x14ac:dyDescent="0.2"/>
    <row r="32" spans="1: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sheetProtection algorithmName="SHA-512" hashValue="gt0m1aSeUKL7ZnolNP7wNOTYXbLBgGVzJvaThJBgx3Ar+d6alCdQV1hwmK7U23PmQEBW1R1RuJzRCeRhVeevLA==" saltValue="HPmDxCLjiWN27VOPpKd1KQ==" spinCount="100000" sheet="1" objects="1" scenarios="1"/>
  <mergeCells count="2">
    <mergeCell ref="A1:C1"/>
    <mergeCell ref="A9:C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59"/>
  <sheetViews>
    <sheetView showGridLines="0" showRuler="0" workbookViewId="0">
      <selection activeCell="C6" sqref="C6"/>
    </sheetView>
  </sheetViews>
  <sheetFormatPr defaultColWidth="13.140625" defaultRowHeight="12.75" x14ac:dyDescent="0.2"/>
  <cols>
    <col min="1" max="4" width="22.140625" customWidth="1"/>
    <col min="5" max="5" width="14.42578125" customWidth="1"/>
  </cols>
  <sheetData>
    <row r="1" spans="1:5" ht="15.75" x14ac:dyDescent="0.25">
      <c r="A1" s="560" t="s">
        <v>582</v>
      </c>
      <c r="B1" s="560"/>
      <c r="C1" s="560"/>
      <c r="D1" s="560"/>
      <c r="E1" s="23"/>
    </row>
    <row r="2" spans="1:5" x14ac:dyDescent="0.2">
      <c r="A2" s="2"/>
      <c r="B2" s="24"/>
      <c r="C2" s="24"/>
      <c r="D2" s="24"/>
      <c r="E2" s="23"/>
    </row>
    <row r="3" spans="1:5" ht="54.95" customHeight="1" x14ac:dyDescent="0.2">
      <c r="A3" s="458" t="s">
        <v>1182</v>
      </c>
      <c r="B3" s="4" t="s">
        <v>583</v>
      </c>
      <c r="C3" s="4" t="s">
        <v>584</v>
      </c>
      <c r="D3" s="4" t="s">
        <v>585</v>
      </c>
      <c r="E3" s="57"/>
    </row>
    <row r="4" spans="1:5" ht="21.6" customHeight="1" x14ac:dyDescent="0.2">
      <c r="A4" s="42" t="s">
        <v>154</v>
      </c>
      <c r="B4" s="273" t="s">
        <v>72</v>
      </c>
      <c r="C4" s="274">
        <v>0</v>
      </c>
      <c r="D4" s="274">
        <v>121</v>
      </c>
      <c r="E4" s="181"/>
    </row>
    <row r="5" spans="1:5" ht="21.6" customHeight="1" x14ac:dyDescent="0.2">
      <c r="A5" s="623" t="s">
        <v>160</v>
      </c>
      <c r="B5" s="273" t="s">
        <v>79</v>
      </c>
      <c r="C5" s="274">
        <v>3</v>
      </c>
      <c r="D5" s="274">
        <v>156</v>
      </c>
      <c r="E5" s="57"/>
    </row>
    <row r="6" spans="1:5" ht="21.6" customHeight="1" x14ac:dyDescent="0.2">
      <c r="A6" s="623"/>
      <c r="B6" s="273" t="s">
        <v>82</v>
      </c>
      <c r="C6" s="274">
        <v>2</v>
      </c>
      <c r="D6" s="274">
        <v>136</v>
      </c>
      <c r="E6" s="57"/>
    </row>
    <row r="7" spans="1:5" ht="21.6" customHeight="1" x14ac:dyDescent="0.2">
      <c r="A7" s="623"/>
      <c r="B7" s="273" t="s">
        <v>86</v>
      </c>
      <c r="C7" s="274">
        <v>0</v>
      </c>
      <c r="D7" s="274">
        <v>45</v>
      </c>
      <c r="E7" s="57"/>
    </row>
    <row r="8" spans="1:5" ht="21.6" customHeight="1" x14ac:dyDescent="0.2">
      <c r="A8" s="623" t="s">
        <v>166</v>
      </c>
      <c r="B8" s="273" t="s">
        <v>89</v>
      </c>
      <c r="C8" s="274">
        <v>1</v>
      </c>
      <c r="D8" s="274">
        <v>44</v>
      </c>
      <c r="E8" s="181"/>
    </row>
    <row r="9" spans="1:5" ht="21.6" customHeight="1" x14ac:dyDescent="0.2">
      <c r="A9" s="623"/>
      <c r="B9" s="273" t="s">
        <v>94</v>
      </c>
      <c r="C9" s="274">
        <v>2</v>
      </c>
      <c r="D9" s="274">
        <v>31</v>
      </c>
      <c r="E9" s="57"/>
    </row>
    <row r="10" spans="1:5" ht="21.6" customHeight="1" x14ac:dyDescent="0.2">
      <c r="A10" s="623"/>
      <c r="B10" s="273" t="s">
        <v>97</v>
      </c>
      <c r="C10" s="274">
        <v>1</v>
      </c>
      <c r="D10" s="274">
        <v>68</v>
      </c>
      <c r="E10" s="57"/>
    </row>
    <row r="11" spans="1:5" ht="21.6" customHeight="1" x14ac:dyDescent="0.2">
      <c r="A11" s="623"/>
      <c r="B11" s="273" t="s">
        <v>99</v>
      </c>
      <c r="C11" s="274">
        <v>1</v>
      </c>
      <c r="D11" s="274">
        <v>61</v>
      </c>
      <c r="E11" s="57"/>
    </row>
    <row r="12" spans="1:5" ht="21.6" customHeight="1" x14ac:dyDescent="0.2">
      <c r="A12" s="42" t="s">
        <v>168</v>
      </c>
      <c r="B12" s="273" t="s">
        <v>76</v>
      </c>
      <c r="C12" s="274">
        <v>3</v>
      </c>
      <c r="D12" s="274">
        <v>123</v>
      </c>
      <c r="E12" s="181"/>
    </row>
    <row r="13" spans="1:5" ht="21.6" customHeight="1" x14ac:dyDescent="0.25">
      <c r="A13" s="42" t="s">
        <v>586</v>
      </c>
      <c r="B13" s="235" t="s">
        <v>587</v>
      </c>
      <c r="C13" s="275">
        <v>0</v>
      </c>
      <c r="D13" s="274">
        <v>305</v>
      </c>
      <c r="E13" s="57"/>
    </row>
    <row r="14" spans="1:5" ht="21.6" customHeight="1" x14ac:dyDescent="0.2">
      <c r="A14" s="42" t="s">
        <v>170</v>
      </c>
      <c r="B14" s="235" t="s">
        <v>90</v>
      </c>
      <c r="C14" s="274">
        <f>SUM(C4,C5,C6,C7,C8,C9,C10,C11,C12,C13)</f>
        <v>13</v>
      </c>
      <c r="D14" s="267">
        <f>SUM(D4,D5,D6,D7,D8,D9,D10,D11,D12,D13)</f>
        <v>1090</v>
      </c>
      <c r="E14" s="57"/>
    </row>
    <row r="15" spans="1:5" ht="21.6" customHeight="1" x14ac:dyDescent="0.2">
      <c r="A15" s="563" t="s">
        <v>588</v>
      </c>
      <c r="B15" s="563"/>
      <c r="C15" s="563"/>
      <c r="D15" s="563"/>
      <c r="E15" s="23"/>
    </row>
    <row r="16" spans="1:5" ht="21.6" customHeight="1" x14ac:dyDescent="0.2">
      <c r="A16" s="564"/>
      <c r="B16" s="564"/>
      <c r="C16" s="564"/>
      <c r="D16" s="564"/>
      <c r="E16" s="23"/>
    </row>
    <row r="17" spans="1:5" ht="21.6" customHeight="1" x14ac:dyDescent="0.2">
      <c r="A17" s="564"/>
      <c r="B17" s="564"/>
      <c r="C17" s="564"/>
      <c r="D17" s="564"/>
      <c r="E17" s="23"/>
    </row>
    <row r="18" spans="1:5" ht="21.6" customHeight="1" x14ac:dyDescent="0.2">
      <c r="E18" s="23"/>
    </row>
    <row r="19" spans="1:5" ht="21.6" customHeight="1" x14ac:dyDescent="0.2">
      <c r="E19" s="23"/>
    </row>
    <row r="20" spans="1:5" ht="21.6" customHeight="1" x14ac:dyDescent="0.2">
      <c r="E20" s="23"/>
    </row>
    <row r="21" spans="1:5" ht="21.6" customHeight="1" x14ac:dyDescent="0.2">
      <c r="E21" s="23"/>
    </row>
    <row r="22" spans="1:5" ht="21.6" customHeight="1" x14ac:dyDescent="0.2">
      <c r="E22" s="23"/>
    </row>
    <row r="23" spans="1:5" ht="21.6" customHeight="1" x14ac:dyDescent="0.2">
      <c r="E23" s="23"/>
    </row>
    <row r="24" spans="1:5" ht="21.6" customHeight="1" x14ac:dyDescent="0.2">
      <c r="E24" s="23"/>
    </row>
    <row r="25" spans="1:5" ht="21.6" customHeight="1" x14ac:dyDescent="0.2">
      <c r="E25" s="34"/>
    </row>
    <row r="26" spans="1:5" ht="21.6" customHeight="1" x14ac:dyDescent="0.2">
      <c r="E26" s="34"/>
    </row>
    <row r="27" spans="1:5" ht="21.6" customHeight="1" x14ac:dyDescent="0.2">
      <c r="E27" s="23"/>
    </row>
    <row r="28" spans="1:5" ht="21.6" customHeight="1" x14ac:dyDescent="0.2">
      <c r="E28" s="23"/>
    </row>
    <row r="29" spans="1:5" ht="21.6" customHeight="1" x14ac:dyDescent="0.2">
      <c r="E29" s="23"/>
    </row>
    <row r="30" spans="1:5" ht="21.6" customHeight="1" x14ac:dyDescent="0.2">
      <c r="E30" s="23"/>
    </row>
    <row r="31" spans="1:5" ht="21.6" customHeight="1" x14ac:dyDescent="0.2">
      <c r="E31" s="23"/>
    </row>
    <row r="32" spans="1:5" ht="69.95" customHeight="1" x14ac:dyDescent="0.2">
      <c r="E32" s="23"/>
    </row>
    <row r="33" spans="5:5" ht="69.95" customHeight="1" x14ac:dyDescent="0.2">
      <c r="E33" s="23"/>
    </row>
    <row r="34" spans="5:5" ht="15" customHeight="1" x14ac:dyDescent="0.2"/>
    <row r="35" spans="5:5" ht="15" customHeight="1" x14ac:dyDescent="0.2"/>
    <row r="36" spans="5:5" ht="15" customHeight="1" x14ac:dyDescent="0.2"/>
    <row r="37" spans="5:5" ht="15" customHeight="1" x14ac:dyDescent="0.2"/>
    <row r="38" spans="5:5" ht="15" customHeight="1" x14ac:dyDescent="0.2"/>
    <row r="39" spans="5:5" ht="15" customHeight="1" x14ac:dyDescent="0.2"/>
    <row r="40" spans="5:5" ht="15" customHeight="1" x14ac:dyDescent="0.2"/>
    <row r="41" spans="5:5" ht="15" customHeight="1" x14ac:dyDescent="0.2"/>
    <row r="42" spans="5:5" ht="15" customHeight="1" x14ac:dyDescent="0.2"/>
    <row r="43" spans="5:5" ht="15" customHeight="1" x14ac:dyDescent="0.2"/>
    <row r="44" spans="5:5" ht="15" customHeight="1" x14ac:dyDescent="0.2"/>
    <row r="45" spans="5:5" ht="15" customHeight="1" x14ac:dyDescent="0.2"/>
    <row r="46" spans="5:5" ht="15" customHeight="1" x14ac:dyDescent="0.2"/>
    <row r="47" spans="5:5" ht="15" customHeight="1" x14ac:dyDescent="0.2"/>
    <row r="48" spans="5: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sheetData>
  <sheetProtection algorithmName="SHA-512" hashValue="mR0+6ZcBBgZa68nz5oE60VPvn8Fq3j80Zb5snCjZMoftBWcKDrfyARGl9kp1u8JrD3xCRjOeZFycAo0Kj794YQ==" saltValue="G/EbE9Tc8baCUvaqJL/DLw==" spinCount="100000" sheet="1" objects="1" scenarios="1"/>
  <mergeCells count="4">
    <mergeCell ref="A1:D1"/>
    <mergeCell ref="A5:A7"/>
    <mergeCell ref="A8:A11"/>
    <mergeCell ref="A15:D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T205"/>
  <sheetViews>
    <sheetView showGridLines="0" showRuler="0" workbookViewId="0">
      <selection activeCell="C7" sqref="C7"/>
    </sheetView>
  </sheetViews>
  <sheetFormatPr defaultColWidth="13.140625" defaultRowHeight="12.75" x14ac:dyDescent="0.2"/>
  <cols>
    <col min="1" max="1" width="55.28515625" customWidth="1"/>
    <col min="2" max="2" width="23.140625" hidden="1" customWidth="1"/>
    <col min="3" max="7" width="23.140625" customWidth="1"/>
    <col min="8" max="8" width="8.5703125" customWidth="1"/>
    <col min="9" max="9" width="31.140625" customWidth="1"/>
    <col min="10" max="10" width="23.140625" customWidth="1"/>
    <col min="11" max="12" width="14.42578125" customWidth="1"/>
    <col min="19" max="19" width="8" customWidth="1"/>
    <col min="20" max="20" width="23.5703125" customWidth="1"/>
    <col min="21" max="21" width="23.5703125" hidden="1" customWidth="1"/>
    <col min="22" max="26" width="23.5703125" customWidth="1"/>
    <col min="27" max="27" width="8.28515625" customWidth="1"/>
    <col min="28" max="28" width="31.85546875" customWidth="1"/>
    <col min="38" max="38" width="6.5703125" customWidth="1"/>
    <col min="39" max="44" width="23.5703125" customWidth="1"/>
    <col min="45" max="45" width="8" customWidth="1"/>
    <col min="46" max="46" width="50.140625" customWidth="1"/>
    <col min="47" max="47" width="31.140625" hidden="1" customWidth="1"/>
    <col min="48" max="52" width="31.140625" customWidth="1"/>
    <col min="53" max="53" width="8.7109375" customWidth="1"/>
    <col min="54" max="54" width="30.5703125" customWidth="1"/>
    <col min="65" max="65" width="26.140625" customWidth="1"/>
    <col min="66" max="71" width="20" customWidth="1"/>
  </cols>
  <sheetData>
    <row r="1" spans="1:72" ht="15.75" x14ac:dyDescent="0.25">
      <c r="A1" s="560" t="s">
        <v>589</v>
      </c>
      <c r="B1" s="560"/>
      <c r="C1" s="560"/>
      <c r="D1" s="560"/>
      <c r="E1" s="23"/>
      <c r="F1" s="23"/>
      <c r="G1" s="23"/>
      <c r="H1" s="23"/>
      <c r="I1" s="23"/>
      <c r="J1" s="23"/>
      <c r="K1" s="23"/>
      <c r="L1" s="23"/>
    </row>
    <row r="2" spans="1:72" x14ac:dyDescent="0.2">
      <c r="A2" s="2"/>
      <c r="B2" s="24"/>
      <c r="C2" s="24"/>
      <c r="D2" s="24"/>
      <c r="E2" s="24"/>
      <c r="F2" s="24"/>
      <c r="G2" s="24"/>
      <c r="H2" s="23"/>
      <c r="I2" s="24"/>
      <c r="J2" s="24"/>
      <c r="K2" s="24"/>
      <c r="L2" s="24"/>
    </row>
    <row r="3" spans="1:72" ht="42.6" customHeight="1" x14ac:dyDescent="0.2">
      <c r="A3" s="276" t="s">
        <v>590</v>
      </c>
      <c r="B3" s="37">
        <v>2015</v>
      </c>
      <c r="C3" s="37">
        <v>2016</v>
      </c>
      <c r="D3" s="37">
        <v>2017</v>
      </c>
      <c r="E3" s="37">
        <v>2018</v>
      </c>
      <c r="F3" s="37">
        <v>2019</v>
      </c>
      <c r="G3" s="37">
        <v>2020</v>
      </c>
      <c r="H3" s="11"/>
      <c r="I3" s="471" t="s">
        <v>1183</v>
      </c>
      <c r="J3" s="4" t="s">
        <v>591</v>
      </c>
      <c r="K3" s="4" t="s">
        <v>592</v>
      </c>
      <c r="L3" s="4" t="s">
        <v>593</v>
      </c>
      <c r="M3" s="4" t="s">
        <v>594</v>
      </c>
      <c r="N3" s="4" t="s">
        <v>595</v>
      </c>
      <c r="O3" s="4" t="s">
        <v>596</v>
      </c>
      <c r="P3" s="4" t="s">
        <v>597</v>
      </c>
      <c r="Q3" s="4" t="s">
        <v>598</v>
      </c>
      <c r="R3" s="4" t="s">
        <v>599</v>
      </c>
      <c r="S3" s="55"/>
      <c r="T3" s="276" t="s">
        <v>600</v>
      </c>
      <c r="U3" s="37">
        <v>2015</v>
      </c>
      <c r="V3" s="37">
        <v>2016</v>
      </c>
      <c r="W3" s="37">
        <v>2017</v>
      </c>
      <c r="X3" s="37">
        <v>2018</v>
      </c>
      <c r="Y3" s="37">
        <v>2019</v>
      </c>
      <c r="Z3" s="37">
        <v>2020</v>
      </c>
      <c r="AA3" s="60"/>
      <c r="AB3" s="471" t="s">
        <v>1184</v>
      </c>
      <c r="AC3" s="4" t="s">
        <v>591</v>
      </c>
      <c r="AD3" s="4" t="s">
        <v>592</v>
      </c>
      <c r="AE3" s="4" t="s">
        <v>593</v>
      </c>
      <c r="AF3" s="4" t="s">
        <v>594</v>
      </c>
      <c r="AG3" s="4" t="s">
        <v>595</v>
      </c>
      <c r="AH3" s="4" t="s">
        <v>596</v>
      </c>
      <c r="AI3" s="4" t="s">
        <v>601</v>
      </c>
      <c r="AJ3" s="4" t="s">
        <v>598</v>
      </c>
      <c r="AK3" s="4" t="s">
        <v>599</v>
      </c>
      <c r="AL3" s="55"/>
      <c r="AM3" s="276" t="s">
        <v>602</v>
      </c>
      <c r="AN3" s="37">
        <v>2016</v>
      </c>
      <c r="AO3" s="37">
        <v>2017</v>
      </c>
      <c r="AP3" s="37">
        <v>2018</v>
      </c>
      <c r="AQ3" s="37">
        <v>2019</v>
      </c>
      <c r="AR3" s="37">
        <v>2020</v>
      </c>
      <c r="AS3" s="60"/>
      <c r="AT3" s="458" t="s">
        <v>1185</v>
      </c>
      <c r="AU3" s="37">
        <v>2015</v>
      </c>
      <c r="AV3" s="37">
        <v>2016</v>
      </c>
      <c r="AW3" s="37">
        <v>2017</v>
      </c>
      <c r="AX3" s="37">
        <v>2018</v>
      </c>
      <c r="AY3" s="37">
        <v>2019</v>
      </c>
      <c r="AZ3" s="37">
        <v>2020</v>
      </c>
      <c r="BA3" s="60"/>
      <c r="BB3" s="472" t="s">
        <v>1186</v>
      </c>
      <c r="BC3" s="4" t="s">
        <v>591</v>
      </c>
      <c r="BD3" s="4" t="s">
        <v>592</v>
      </c>
      <c r="BE3" s="4" t="s">
        <v>593</v>
      </c>
      <c r="BF3" s="4" t="s">
        <v>594</v>
      </c>
      <c r="BG3" s="4" t="s">
        <v>595</v>
      </c>
      <c r="BH3" s="4" t="s">
        <v>596</v>
      </c>
      <c r="BI3" s="4" t="s">
        <v>601</v>
      </c>
      <c r="BJ3" s="4" t="s">
        <v>598</v>
      </c>
      <c r="BK3" s="4" t="s">
        <v>599</v>
      </c>
      <c r="BL3" s="55"/>
      <c r="BM3" s="696" t="s">
        <v>1187</v>
      </c>
      <c r="BN3" s="690" t="s">
        <v>603</v>
      </c>
      <c r="BO3" s="691"/>
      <c r="BP3" s="692"/>
      <c r="BQ3" s="690" t="s">
        <v>604</v>
      </c>
      <c r="BR3" s="691"/>
      <c r="BS3" s="692"/>
      <c r="BT3" s="26"/>
    </row>
    <row r="4" spans="1:72" ht="21.6" customHeight="1" x14ac:dyDescent="0.2">
      <c r="A4" s="42" t="s">
        <v>592</v>
      </c>
      <c r="B4" s="40"/>
      <c r="C4" s="114">
        <v>0</v>
      </c>
      <c r="D4" s="114">
        <v>0</v>
      </c>
      <c r="E4" s="114">
        <v>1</v>
      </c>
      <c r="F4" s="114">
        <v>0</v>
      </c>
      <c r="G4" s="114">
        <v>0</v>
      </c>
      <c r="H4" s="11"/>
      <c r="I4" s="276" t="s">
        <v>578</v>
      </c>
      <c r="J4" s="277">
        <f>SUM(J5:J9)</f>
        <v>4803642</v>
      </c>
      <c r="K4" s="277">
        <v>0</v>
      </c>
      <c r="L4" s="277">
        <f>SUM(L5:L9)</f>
        <v>1</v>
      </c>
      <c r="M4" s="277">
        <f>SUM(M5:M9)</f>
        <v>3</v>
      </c>
      <c r="N4" s="277">
        <f>SUM(N5:N9)</f>
        <v>1</v>
      </c>
      <c r="O4" s="278">
        <f t="shared" ref="O4:O28" si="0">(N4+L4)*200000/J4</f>
        <v>8.3270152105423337E-2</v>
      </c>
      <c r="P4" s="278">
        <f t="shared" ref="P4:P28" si="1">SUM(L4:N4)*200000/J4</f>
        <v>0.20817538026355836</v>
      </c>
      <c r="Q4" s="277">
        <f>SUM(Q5:Q9)</f>
        <v>0</v>
      </c>
      <c r="R4" s="278">
        <f t="shared" ref="R4:R28" si="2">Q4*200000/J4</f>
        <v>0</v>
      </c>
      <c r="S4" s="55"/>
      <c r="T4" s="42" t="s">
        <v>592</v>
      </c>
      <c r="U4" s="227">
        <v>0</v>
      </c>
      <c r="V4" s="227">
        <v>0</v>
      </c>
      <c r="W4" s="227">
        <v>0</v>
      </c>
      <c r="X4" s="227">
        <v>6</v>
      </c>
      <c r="Y4" s="227">
        <v>0</v>
      </c>
      <c r="Z4" s="227">
        <v>0</v>
      </c>
      <c r="AA4" s="55"/>
      <c r="AB4" s="276" t="s">
        <v>578</v>
      </c>
      <c r="AC4" s="277">
        <f>SUM(AC5:AC9)</f>
        <v>7735555</v>
      </c>
      <c r="AD4" s="277">
        <v>0</v>
      </c>
      <c r="AE4" s="277">
        <f>SUM(AE5:AE9)</f>
        <v>4</v>
      </c>
      <c r="AF4" s="277">
        <f>SUM(AF5:AF9)</f>
        <v>1</v>
      </c>
      <c r="AG4" s="277">
        <f>SUM(AG5:AG9)</f>
        <v>2</v>
      </c>
      <c r="AH4" s="278">
        <f t="shared" ref="AH4:AH20" si="3">(AG4+AE4)*200000/AC4</f>
        <v>0.15512784796953807</v>
      </c>
      <c r="AI4" s="278">
        <f t="shared" ref="AI4:AI20" si="4">SUM(AE4:AG4)*200000/AC4</f>
        <v>0.1809824892977944</v>
      </c>
      <c r="AJ4" s="277">
        <f>SUM(AJ5:AJ9)</f>
        <v>6</v>
      </c>
      <c r="AK4" s="278">
        <f t="shared" ref="AK4:AK20" si="5">AJ4*200000/AC4</f>
        <v>0.15512784796953807</v>
      </c>
      <c r="AL4" s="55"/>
      <c r="AM4" s="4" t="s">
        <v>605</v>
      </c>
      <c r="AN4" s="279">
        <v>0.16</v>
      </c>
      <c r="AO4" s="279">
        <v>0.23</v>
      </c>
      <c r="AP4" s="279">
        <v>0.26</v>
      </c>
      <c r="AQ4" s="279">
        <v>0.22</v>
      </c>
      <c r="AR4" s="279">
        <v>0.21</v>
      </c>
      <c r="AS4" s="55"/>
      <c r="AT4" s="8" t="s">
        <v>606</v>
      </c>
      <c r="AU4" s="280">
        <v>0.36</v>
      </c>
      <c r="AV4" s="280">
        <v>0.39</v>
      </c>
      <c r="AW4" s="280">
        <v>0.46</v>
      </c>
      <c r="AX4" s="281">
        <v>0.4</v>
      </c>
      <c r="AY4" s="280">
        <v>0.41</v>
      </c>
      <c r="AZ4" s="281">
        <v>0.33</v>
      </c>
      <c r="BA4" s="291"/>
      <c r="BB4" s="282" t="s">
        <v>578</v>
      </c>
      <c r="BC4" s="192">
        <f t="shared" ref="BC4:BC44" si="6">AC4+J4</f>
        <v>12539197</v>
      </c>
      <c r="BD4" s="283">
        <v>0</v>
      </c>
      <c r="BE4" s="192">
        <f>AE4+L4</f>
        <v>5</v>
      </c>
      <c r="BF4" s="192">
        <f>AF4+M4</f>
        <v>4</v>
      </c>
      <c r="BG4" s="192">
        <f>AG4+N4</f>
        <v>3</v>
      </c>
      <c r="BH4" s="284">
        <f t="shared" ref="BH4:BH32" si="7">(BG4+BE4)*200000/BC4</f>
        <v>0.12759987740841777</v>
      </c>
      <c r="BI4" s="284">
        <f t="shared" ref="BI4:BI32" si="8">SUM(BE4:BG4)*200000/BC4</f>
        <v>0.19139981611262666</v>
      </c>
      <c r="BJ4" s="192">
        <f t="shared" ref="BJ4:BJ44" si="9">AJ4+Q4</f>
        <v>6</v>
      </c>
      <c r="BK4" s="284">
        <f t="shared" ref="BK4:BK32" si="10">BJ4*200000/BC4</f>
        <v>9.5699908056313329E-2</v>
      </c>
      <c r="BL4" s="55"/>
      <c r="BM4" s="697"/>
      <c r="BN4" s="693"/>
      <c r="BO4" s="694"/>
      <c r="BP4" s="695"/>
      <c r="BQ4" s="693"/>
      <c r="BR4" s="694"/>
      <c r="BS4" s="695"/>
      <c r="BT4" s="26"/>
    </row>
    <row r="5" spans="1:72" ht="21.6" customHeight="1" x14ac:dyDescent="0.2">
      <c r="A5" s="42" t="s">
        <v>607</v>
      </c>
      <c r="B5" s="280">
        <v>0.22</v>
      </c>
      <c r="C5" s="281">
        <v>0.2</v>
      </c>
      <c r="D5" s="281">
        <v>0.3</v>
      </c>
      <c r="E5" s="280">
        <v>0.24</v>
      </c>
      <c r="F5" s="280">
        <v>0.27</v>
      </c>
      <c r="G5" s="280">
        <v>0.18</v>
      </c>
      <c r="H5" s="11"/>
      <c r="I5" s="219" t="s">
        <v>608</v>
      </c>
      <c r="J5" s="240">
        <v>232069</v>
      </c>
      <c r="K5" s="240">
        <v>0</v>
      </c>
      <c r="L5" s="240">
        <v>0</v>
      </c>
      <c r="M5" s="240">
        <v>0</v>
      </c>
      <c r="N5" s="240">
        <v>0</v>
      </c>
      <c r="O5" s="220">
        <f t="shared" si="0"/>
        <v>0</v>
      </c>
      <c r="P5" s="220">
        <f t="shared" si="1"/>
        <v>0</v>
      </c>
      <c r="Q5" s="240">
        <v>0</v>
      </c>
      <c r="R5" s="220">
        <f t="shared" si="2"/>
        <v>0</v>
      </c>
      <c r="S5" s="55"/>
      <c r="T5" s="42" t="s">
        <v>605</v>
      </c>
      <c r="U5" s="279">
        <v>0.13</v>
      </c>
      <c r="V5" s="279">
        <v>0.13</v>
      </c>
      <c r="W5" s="279">
        <v>0.17</v>
      </c>
      <c r="X5" s="279">
        <v>0.27</v>
      </c>
      <c r="Y5" s="279">
        <v>0.18</v>
      </c>
      <c r="Z5" s="279">
        <v>0.23</v>
      </c>
      <c r="AA5" s="55"/>
      <c r="AB5" s="219" t="s">
        <v>608</v>
      </c>
      <c r="AC5" s="240">
        <v>150173</v>
      </c>
      <c r="AD5" s="240">
        <v>0</v>
      </c>
      <c r="AE5" s="240">
        <v>0</v>
      </c>
      <c r="AF5" s="240">
        <v>0</v>
      </c>
      <c r="AG5" s="240">
        <v>0</v>
      </c>
      <c r="AH5" s="220">
        <f t="shared" si="3"/>
        <v>0</v>
      </c>
      <c r="AI5" s="220">
        <f t="shared" si="4"/>
        <v>0</v>
      </c>
      <c r="AJ5" s="240">
        <v>0</v>
      </c>
      <c r="AK5" s="220">
        <f t="shared" si="5"/>
        <v>0</v>
      </c>
      <c r="AL5" s="55"/>
      <c r="AM5" s="4" t="s">
        <v>606</v>
      </c>
      <c r="AN5" s="279">
        <v>0.39</v>
      </c>
      <c r="AO5" s="279">
        <v>0.46</v>
      </c>
      <c r="AP5" s="285">
        <v>0.4</v>
      </c>
      <c r="AQ5" s="279">
        <v>0.41</v>
      </c>
      <c r="AR5" s="279">
        <v>0.33</v>
      </c>
      <c r="AS5" s="55"/>
      <c r="AT5" s="8" t="s">
        <v>605</v>
      </c>
      <c r="AU5" s="280">
        <v>0.17</v>
      </c>
      <c r="AV5" s="280">
        <v>0.16</v>
      </c>
      <c r="AW5" s="280">
        <v>0.23</v>
      </c>
      <c r="AX5" s="280">
        <v>0.26</v>
      </c>
      <c r="AY5" s="280">
        <v>0.22</v>
      </c>
      <c r="AZ5" s="281">
        <v>0.21</v>
      </c>
      <c r="BA5" s="291"/>
      <c r="BB5" s="219" t="s">
        <v>608</v>
      </c>
      <c r="BC5" s="194">
        <f t="shared" si="6"/>
        <v>382242</v>
      </c>
      <c r="BD5" s="225">
        <v>0</v>
      </c>
      <c r="BE5" s="246">
        <v>0</v>
      </c>
      <c r="BF5" s="246">
        <v>0</v>
      </c>
      <c r="BG5" s="246">
        <v>0</v>
      </c>
      <c r="BH5" s="210">
        <f t="shared" si="7"/>
        <v>0</v>
      </c>
      <c r="BI5" s="210">
        <f t="shared" si="8"/>
        <v>0</v>
      </c>
      <c r="BJ5" s="246">
        <f t="shared" si="9"/>
        <v>0</v>
      </c>
      <c r="BK5" s="210">
        <f t="shared" si="10"/>
        <v>0</v>
      </c>
      <c r="BL5" s="55"/>
      <c r="BM5" s="698"/>
      <c r="BN5" s="4" t="s">
        <v>609</v>
      </c>
      <c r="BO5" s="4" t="s">
        <v>610</v>
      </c>
      <c r="BP5" s="4" t="s">
        <v>611</v>
      </c>
      <c r="BQ5" s="4" t="s">
        <v>612</v>
      </c>
      <c r="BR5" s="4" t="s">
        <v>610</v>
      </c>
      <c r="BS5" s="4" t="s">
        <v>611</v>
      </c>
      <c r="BT5" s="26"/>
    </row>
    <row r="6" spans="1:72" ht="21.6" customHeight="1" x14ac:dyDescent="0.2">
      <c r="A6" s="42" t="s">
        <v>613</v>
      </c>
      <c r="B6" s="280">
        <v>0.35</v>
      </c>
      <c r="C6" s="280">
        <v>0.44</v>
      </c>
      <c r="D6" s="280">
        <v>0.49</v>
      </c>
      <c r="E6" s="280">
        <v>0.36</v>
      </c>
      <c r="F6" s="280">
        <v>0.41</v>
      </c>
      <c r="G6" s="281">
        <v>0.3</v>
      </c>
      <c r="H6" s="11"/>
      <c r="I6" s="219" t="s">
        <v>41</v>
      </c>
      <c r="J6" s="240">
        <v>2618182</v>
      </c>
      <c r="K6" s="240">
        <v>0</v>
      </c>
      <c r="L6" s="240">
        <v>0</v>
      </c>
      <c r="M6" s="240">
        <v>1</v>
      </c>
      <c r="N6" s="240">
        <v>0</v>
      </c>
      <c r="O6" s="220">
        <f t="shared" si="0"/>
        <v>0</v>
      </c>
      <c r="P6" s="220">
        <f t="shared" si="1"/>
        <v>7.638888358410531E-2</v>
      </c>
      <c r="Q6" s="240">
        <v>0</v>
      </c>
      <c r="R6" s="220">
        <f t="shared" si="2"/>
        <v>0</v>
      </c>
      <c r="S6" s="55"/>
      <c r="T6" s="42" t="s">
        <v>606</v>
      </c>
      <c r="U6" s="279">
        <v>0.37</v>
      </c>
      <c r="V6" s="279">
        <v>0.34</v>
      </c>
      <c r="W6" s="279">
        <v>0.43</v>
      </c>
      <c r="X6" s="279">
        <v>0.44</v>
      </c>
      <c r="Y6" s="279">
        <v>0.41</v>
      </c>
      <c r="Z6" s="279">
        <v>0.36</v>
      </c>
      <c r="AA6" s="55"/>
      <c r="AB6" s="219" t="s">
        <v>41</v>
      </c>
      <c r="AC6" s="240">
        <v>5815826</v>
      </c>
      <c r="AD6" s="240">
        <v>0</v>
      </c>
      <c r="AE6" s="240">
        <v>4</v>
      </c>
      <c r="AF6" s="240">
        <v>1</v>
      </c>
      <c r="AG6" s="240">
        <v>1</v>
      </c>
      <c r="AH6" s="220">
        <f t="shared" si="3"/>
        <v>0.17194462145187975</v>
      </c>
      <c r="AI6" s="220">
        <f t="shared" si="4"/>
        <v>0.20633354574225571</v>
      </c>
      <c r="AJ6" s="240">
        <v>4</v>
      </c>
      <c r="AK6" s="220">
        <f t="shared" si="5"/>
        <v>0.13755569716150379</v>
      </c>
      <c r="AL6" s="55"/>
      <c r="AM6" s="4" t="s">
        <v>614</v>
      </c>
      <c r="AN6" s="279">
        <v>0.01</v>
      </c>
      <c r="AO6" s="279">
        <v>0.03</v>
      </c>
      <c r="AP6" s="285">
        <v>0.1</v>
      </c>
      <c r="AQ6" s="279">
        <v>0.06</v>
      </c>
      <c r="AR6" s="279">
        <v>7.0000000000000007E-2</v>
      </c>
      <c r="AS6" s="55"/>
      <c r="AT6" s="8" t="s">
        <v>615</v>
      </c>
      <c r="AU6" s="280">
        <v>5.0000000000000001E-3</v>
      </c>
      <c r="AV6" s="280">
        <v>3.0000000000000001E-3</v>
      </c>
      <c r="AW6" s="114">
        <v>0</v>
      </c>
      <c r="AX6" s="114">
        <v>0</v>
      </c>
      <c r="AY6" s="280">
        <v>3.0000000000000001E-3</v>
      </c>
      <c r="AZ6" s="114">
        <v>0</v>
      </c>
      <c r="BA6" s="291"/>
      <c r="BB6" s="219" t="s">
        <v>41</v>
      </c>
      <c r="BC6" s="194">
        <f t="shared" si="6"/>
        <v>8434008</v>
      </c>
      <c r="BD6" s="225">
        <v>0</v>
      </c>
      <c r="BE6" s="246">
        <f t="shared" ref="BE6:BE44" si="11">AE6+L6</f>
        <v>4</v>
      </c>
      <c r="BF6" s="246">
        <f t="shared" ref="BF6:BF44" si="12">AF6+M6</f>
        <v>2</v>
      </c>
      <c r="BG6" s="246">
        <f t="shared" ref="BG6:BG44" si="13">AG6+N6</f>
        <v>1</v>
      </c>
      <c r="BH6" s="210">
        <f t="shared" si="7"/>
        <v>0.1185675896916389</v>
      </c>
      <c r="BI6" s="210">
        <f t="shared" si="8"/>
        <v>0.16599462556829445</v>
      </c>
      <c r="BJ6" s="246">
        <f t="shared" si="9"/>
        <v>4</v>
      </c>
      <c r="BK6" s="210">
        <f t="shared" si="10"/>
        <v>9.485407175331112E-2</v>
      </c>
      <c r="BL6" s="55"/>
      <c r="BM6" s="276" t="s">
        <v>578</v>
      </c>
      <c r="BN6" s="277">
        <f t="shared" ref="BN6:BS6" si="14">SUM(BN7:BN9)</f>
        <v>14</v>
      </c>
      <c r="BO6" s="277">
        <f t="shared" si="14"/>
        <v>21261.440000000002</v>
      </c>
      <c r="BP6" s="277">
        <f t="shared" si="14"/>
        <v>5702</v>
      </c>
      <c r="BQ6" s="277">
        <f t="shared" si="14"/>
        <v>118</v>
      </c>
      <c r="BR6" s="277">
        <f t="shared" si="14"/>
        <v>61795.66</v>
      </c>
      <c r="BS6" s="277">
        <f t="shared" si="14"/>
        <v>24194</v>
      </c>
      <c r="BT6" s="26"/>
    </row>
    <row r="7" spans="1:72" ht="29.1" customHeight="1" x14ac:dyDescent="0.2">
      <c r="A7" s="42" t="s">
        <v>616</v>
      </c>
      <c r="B7" s="114">
        <v>0</v>
      </c>
      <c r="C7" s="280">
        <v>0.02</v>
      </c>
      <c r="D7" s="280">
        <v>0.06</v>
      </c>
      <c r="E7" s="280">
        <v>0.08</v>
      </c>
      <c r="F7" s="280">
        <v>7.0000000000000007E-2</v>
      </c>
      <c r="G7" s="280">
        <v>0.05</v>
      </c>
      <c r="H7" s="11"/>
      <c r="I7" s="219" t="s">
        <v>158</v>
      </c>
      <c r="J7" s="240">
        <v>1844771</v>
      </c>
      <c r="K7" s="240">
        <v>0</v>
      </c>
      <c r="L7" s="240">
        <v>1</v>
      </c>
      <c r="M7" s="240">
        <v>2</v>
      </c>
      <c r="N7" s="240">
        <v>1</v>
      </c>
      <c r="O7" s="220">
        <f t="shared" si="0"/>
        <v>0.21682908068264301</v>
      </c>
      <c r="P7" s="220">
        <f t="shared" si="1"/>
        <v>0.43365816136528601</v>
      </c>
      <c r="Q7" s="240">
        <v>0</v>
      </c>
      <c r="R7" s="220">
        <f t="shared" si="2"/>
        <v>0</v>
      </c>
      <c r="S7" s="55"/>
      <c r="T7" s="42" t="s">
        <v>614</v>
      </c>
      <c r="U7" s="279">
        <v>0.01</v>
      </c>
      <c r="V7" s="227">
        <v>0</v>
      </c>
      <c r="W7" s="279">
        <v>0.01</v>
      </c>
      <c r="X7" s="279">
        <v>0.11</v>
      </c>
      <c r="Y7" s="279">
        <v>0.06</v>
      </c>
      <c r="Z7" s="279">
        <v>0.08</v>
      </c>
      <c r="AA7" s="55"/>
      <c r="AB7" s="219" t="s">
        <v>158</v>
      </c>
      <c r="AC7" s="240">
        <v>1224323</v>
      </c>
      <c r="AD7" s="240">
        <v>0</v>
      </c>
      <c r="AE7" s="240">
        <v>0</v>
      </c>
      <c r="AF7" s="240">
        <v>0</v>
      </c>
      <c r="AG7" s="240">
        <v>1</v>
      </c>
      <c r="AH7" s="220">
        <f t="shared" si="3"/>
        <v>0.16335558508661521</v>
      </c>
      <c r="AI7" s="220">
        <f t="shared" si="4"/>
        <v>0.16335558508661521</v>
      </c>
      <c r="AJ7" s="240">
        <v>2</v>
      </c>
      <c r="AK7" s="220">
        <f t="shared" si="5"/>
        <v>0.32671117017323043</v>
      </c>
      <c r="AL7" s="26"/>
      <c r="AM7" s="689" t="s">
        <v>617</v>
      </c>
      <c r="AN7" s="689"/>
      <c r="AO7" s="689"/>
      <c r="AP7" s="689"/>
      <c r="AQ7" s="689"/>
      <c r="AR7" s="689"/>
      <c r="AT7" s="563" t="s">
        <v>618</v>
      </c>
      <c r="AU7" s="563"/>
      <c r="AV7" s="563"/>
      <c r="AW7" s="563"/>
      <c r="AX7" s="563"/>
      <c r="AY7" s="563"/>
      <c r="AZ7" s="563"/>
      <c r="BA7" s="292"/>
      <c r="BB7" s="219" t="s">
        <v>158</v>
      </c>
      <c r="BC7" s="194">
        <f t="shared" si="6"/>
        <v>3069094</v>
      </c>
      <c r="BD7" s="225">
        <v>0</v>
      </c>
      <c r="BE7" s="246">
        <f t="shared" si="11"/>
        <v>1</v>
      </c>
      <c r="BF7" s="246">
        <f t="shared" si="12"/>
        <v>2</v>
      </c>
      <c r="BG7" s="246">
        <f t="shared" si="13"/>
        <v>2</v>
      </c>
      <c r="BH7" s="210">
        <f t="shared" si="7"/>
        <v>0.19549743344452794</v>
      </c>
      <c r="BI7" s="210">
        <f t="shared" si="8"/>
        <v>0.32582905574087989</v>
      </c>
      <c r="BJ7" s="246">
        <f t="shared" si="9"/>
        <v>2</v>
      </c>
      <c r="BK7" s="210">
        <f t="shared" si="10"/>
        <v>0.13033162229635195</v>
      </c>
      <c r="BL7" s="55"/>
      <c r="BM7" s="219" t="s">
        <v>608</v>
      </c>
      <c r="BN7" s="240">
        <v>2</v>
      </c>
      <c r="BO7" s="240">
        <v>38</v>
      </c>
      <c r="BP7" s="240">
        <v>14</v>
      </c>
      <c r="BQ7" s="240">
        <v>7</v>
      </c>
      <c r="BR7" s="240">
        <v>72.5</v>
      </c>
      <c r="BS7" s="240">
        <v>20</v>
      </c>
      <c r="BT7" s="26"/>
    </row>
    <row r="8" spans="1:72" ht="34.15" customHeight="1" x14ac:dyDescent="0.2">
      <c r="A8" s="563" t="s">
        <v>619</v>
      </c>
      <c r="B8" s="563"/>
      <c r="C8" s="563"/>
      <c r="D8" s="563"/>
      <c r="E8" s="563"/>
      <c r="F8" s="563"/>
      <c r="G8" s="563"/>
      <c r="H8" s="16"/>
      <c r="I8" s="219" t="s">
        <v>620</v>
      </c>
      <c r="J8" s="240">
        <v>57981</v>
      </c>
      <c r="K8" s="240">
        <v>0</v>
      </c>
      <c r="L8" s="240">
        <v>0</v>
      </c>
      <c r="M8" s="240">
        <v>0</v>
      </c>
      <c r="N8" s="240">
        <v>0</v>
      </c>
      <c r="O8" s="220">
        <f t="shared" si="0"/>
        <v>0</v>
      </c>
      <c r="P8" s="220">
        <f t="shared" si="1"/>
        <v>0</v>
      </c>
      <c r="Q8" s="240">
        <v>0</v>
      </c>
      <c r="R8" s="220">
        <f t="shared" si="2"/>
        <v>0</v>
      </c>
      <c r="S8" s="26"/>
      <c r="T8" s="687" t="s">
        <v>621</v>
      </c>
      <c r="U8" s="687"/>
      <c r="V8" s="687"/>
      <c r="W8" s="687"/>
      <c r="X8" s="687"/>
      <c r="Y8" s="687"/>
      <c r="Z8" s="687"/>
      <c r="AB8" s="219" t="s">
        <v>622</v>
      </c>
      <c r="AC8" s="240">
        <v>431932</v>
      </c>
      <c r="AD8" s="240">
        <v>0</v>
      </c>
      <c r="AE8" s="240">
        <v>0</v>
      </c>
      <c r="AF8" s="240">
        <v>0</v>
      </c>
      <c r="AG8" s="240">
        <v>0</v>
      </c>
      <c r="AH8" s="220">
        <f t="shared" si="3"/>
        <v>0</v>
      </c>
      <c r="AI8" s="220">
        <f t="shared" si="4"/>
        <v>0</v>
      </c>
      <c r="AJ8" s="240">
        <v>0</v>
      </c>
      <c r="AK8" s="220">
        <f t="shared" si="5"/>
        <v>0</v>
      </c>
      <c r="AL8" s="26"/>
      <c r="AM8" s="613"/>
      <c r="AN8" s="613"/>
      <c r="AO8" s="613"/>
      <c r="AP8" s="613"/>
      <c r="AQ8" s="613"/>
      <c r="AR8" s="613"/>
      <c r="AT8" s="564"/>
      <c r="AU8" s="564"/>
      <c r="AV8" s="564"/>
      <c r="AW8" s="564"/>
      <c r="AX8" s="564"/>
      <c r="AY8" s="564"/>
      <c r="AZ8" s="564"/>
      <c r="BA8" s="293"/>
      <c r="BB8" s="219" t="s">
        <v>620</v>
      </c>
      <c r="BC8" s="194">
        <f t="shared" si="6"/>
        <v>489913</v>
      </c>
      <c r="BD8" s="225">
        <v>0</v>
      </c>
      <c r="BE8" s="246">
        <f t="shared" si="11"/>
        <v>0</v>
      </c>
      <c r="BF8" s="246">
        <f t="shared" si="12"/>
        <v>0</v>
      </c>
      <c r="BG8" s="246">
        <f t="shared" si="13"/>
        <v>0</v>
      </c>
      <c r="BH8" s="210">
        <f t="shared" si="7"/>
        <v>0</v>
      </c>
      <c r="BI8" s="210">
        <f t="shared" si="8"/>
        <v>0</v>
      </c>
      <c r="BJ8" s="246">
        <f t="shared" si="9"/>
        <v>0</v>
      </c>
      <c r="BK8" s="210">
        <f t="shared" si="10"/>
        <v>0</v>
      </c>
      <c r="BL8" s="55"/>
      <c r="BM8" s="219" t="s">
        <v>41</v>
      </c>
      <c r="BN8" s="240">
        <v>6</v>
      </c>
      <c r="BO8" s="240">
        <v>12733</v>
      </c>
      <c r="BP8" s="240">
        <v>3445</v>
      </c>
      <c r="BQ8" s="240">
        <v>64</v>
      </c>
      <c r="BR8" s="240">
        <v>38880</v>
      </c>
      <c r="BS8" s="240">
        <v>15721</v>
      </c>
      <c r="BT8" s="26"/>
    </row>
    <row r="9" spans="1:72" ht="35.85" customHeight="1" x14ac:dyDescent="0.2">
      <c r="A9" s="564"/>
      <c r="B9" s="564"/>
      <c r="C9" s="564"/>
      <c r="D9" s="564"/>
      <c r="E9" s="564"/>
      <c r="F9" s="564"/>
      <c r="G9" s="564"/>
      <c r="H9" s="16"/>
      <c r="I9" s="219" t="s">
        <v>623</v>
      </c>
      <c r="J9" s="240">
        <v>50639</v>
      </c>
      <c r="K9" s="240">
        <v>0</v>
      </c>
      <c r="L9" s="240">
        <v>0</v>
      </c>
      <c r="M9" s="240">
        <v>0</v>
      </c>
      <c r="N9" s="240">
        <v>0</v>
      </c>
      <c r="O9" s="220">
        <f t="shared" si="0"/>
        <v>0</v>
      </c>
      <c r="P9" s="220">
        <f t="shared" si="1"/>
        <v>0</v>
      </c>
      <c r="Q9" s="240">
        <v>0</v>
      </c>
      <c r="R9" s="220">
        <f t="shared" si="2"/>
        <v>0</v>
      </c>
      <c r="S9" s="26"/>
      <c r="T9" s="688"/>
      <c r="U9" s="688"/>
      <c r="V9" s="688"/>
      <c r="W9" s="688"/>
      <c r="X9" s="688"/>
      <c r="Y9" s="688"/>
      <c r="Z9" s="688"/>
      <c r="AB9" s="219" t="s">
        <v>623</v>
      </c>
      <c r="AC9" s="240">
        <v>113301</v>
      </c>
      <c r="AD9" s="240">
        <v>0</v>
      </c>
      <c r="AE9" s="240">
        <v>0</v>
      </c>
      <c r="AF9" s="240">
        <v>0</v>
      </c>
      <c r="AG9" s="240">
        <v>0</v>
      </c>
      <c r="AH9" s="220">
        <f t="shared" si="3"/>
        <v>0</v>
      </c>
      <c r="AI9" s="220">
        <f t="shared" si="4"/>
        <v>0</v>
      </c>
      <c r="AJ9" s="240">
        <v>0</v>
      </c>
      <c r="AK9" s="220">
        <f t="shared" si="5"/>
        <v>0</v>
      </c>
      <c r="AL9" s="26"/>
      <c r="BB9" s="219" t="s">
        <v>623</v>
      </c>
      <c r="BC9" s="194">
        <f t="shared" si="6"/>
        <v>163940</v>
      </c>
      <c r="BD9" s="225">
        <v>0</v>
      </c>
      <c r="BE9" s="246">
        <f t="shared" si="11"/>
        <v>0</v>
      </c>
      <c r="BF9" s="246">
        <f t="shared" si="12"/>
        <v>0</v>
      </c>
      <c r="BG9" s="246">
        <f t="shared" si="13"/>
        <v>0</v>
      </c>
      <c r="BH9" s="210">
        <f t="shared" si="7"/>
        <v>0</v>
      </c>
      <c r="BI9" s="210">
        <f t="shared" si="8"/>
        <v>0</v>
      </c>
      <c r="BJ9" s="246">
        <f t="shared" si="9"/>
        <v>0</v>
      </c>
      <c r="BK9" s="210">
        <f t="shared" si="10"/>
        <v>0</v>
      </c>
      <c r="BL9" s="55"/>
      <c r="BM9" s="219" t="s">
        <v>158</v>
      </c>
      <c r="BN9" s="240">
        <v>6</v>
      </c>
      <c r="BO9" s="240">
        <v>8490.44</v>
      </c>
      <c r="BP9" s="240">
        <v>2243</v>
      </c>
      <c r="BQ9" s="240">
        <v>47</v>
      </c>
      <c r="BR9" s="240">
        <v>22843.16</v>
      </c>
      <c r="BS9" s="240">
        <v>8453</v>
      </c>
      <c r="BT9" s="26"/>
    </row>
    <row r="10" spans="1:72" ht="23.25" customHeight="1" x14ac:dyDescent="0.2">
      <c r="A10" s="564"/>
      <c r="B10" s="564"/>
      <c r="C10" s="564"/>
      <c r="D10" s="564"/>
      <c r="E10" s="564"/>
      <c r="F10" s="564"/>
      <c r="G10" s="564"/>
      <c r="H10" s="16"/>
      <c r="I10" s="276" t="s">
        <v>76</v>
      </c>
      <c r="J10" s="277">
        <f>SUM(J11:J16)</f>
        <v>4145627</v>
      </c>
      <c r="K10" s="277">
        <v>0</v>
      </c>
      <c r="L10" s="277">
        <f>SUM(L11:L16)</f>
        <v>4</v>
      </c>
      <c r="M10" s="277">
        <f>SUM(M11:M16)</f>
        <v>3</v>
      </c>
      <c r="N10" s="277">
        <f>SUM(N11:N16)</f>
        <v>4</v>
      </c>
      <c r="O10" s="278">
        <f t="shared" si="0"/>
        <v>0.38594885646972099</v>
      </c>
      <c r="P10" s="278">
        <f t="shared" si="1"/>
        <v>0.53067967764586632</v>
      </c>
      <c r="Q10" s="277">
        <f>SUM(Q11:Q16)</f>
        <v>7</v>
      </c>
      <c r="R10" s="278">
        <f t="shared" si="2"/>
        <v>0.33770524941100588</v>
      </c>
      <c r="S10" s="26"/>
      <c r="T10" s="286"/>
      <c r="U10" s="286"/>
      <c r="V10" s="286"/>
      <c r="W10" s="286"/>
      <c r="X10" s="286"/>
      <c r="Y10" s="286"/>
      <c r="Z10" s="286"/>
      <c r="AB10" s="276" t="s">
        <v>76</v>
      </c>
      <c r="AC10" s="277">
        <f>SUM(AC11:AC16)</f>
        <v>4042942</v>
      </c>
      <c r="AD10" s="277">
        <v>0</v>
      </c>
      <c r="AE10" s="277">
        <f>SUM(AE11:AE16)</f>
        <v>10</v>
      </c>
      <c r="AF10" s="277">
        <f>SUM(AF11:AF16)</f>
        <v>5</v>
      </c>
      <c r="AG10" s="277">
        <f>SUM(AG11:AG16)</f>
        <v>7</v>
      </c>
      <c r="AH10" s="278">
        <f t="shared" si="3"/>
        <v>0.84097174780147721</v>
      </c>
      <c r="AI10" s="278">
        <f t="shared" si="4"/>
        <v>1.0883163795077941</v>
      </c>
      <c r="AJ10" s="277">
        <f>SUM(AJ11:AJ16)</f>
        <v>6</v>
      </c>
      <c r="AK10" s="278">
        <f t="shared" si="5"/>
        <v>0.29681355804758019</v>
      </c>
      <c r="AL10" s="26"/>
      <c r="BB10" s="276" t="s">
        <v>76</v>
      </c>
      <c r="BC10" s="192">
        <f t="shared" si="6"/>
        <v>8188569</v>
      </c>
      <c r="BD10" s="283">
        <v>0</v>
      </c>
      <c r="BE10" s="287">
        <f t="shared" si="11"/>
        <v>14</v>
      </c>
      <c r="BF10" s="287">
        <f t="shared" si="12"/>
        <v>8</v>
      </c>
      <c r="BG10" s="287">
        <f t="shared" si="13"/>
        <v>11</v>
      </c>
      <c r="BH10" s="284">
        <f t="shared" si="7"/>
        <v>0.61060729902868249</v>
      </c>
      <c r="BI10" s="284">
        <f t="shared" si="8"/>
        <v>0.8060016347178609</v>
      </c>
      <c r="BJ10" s="287">
        <f t="shared" si="9"/>
        <v>13</v>
      </c>
      <c r="BK10" s="284">
        <f t="shared" si="10"/>
        <v>0.31751579549491493</v>
      </c>
      <c r="BL10" s="55"/>
      <c r="BM10" s="276" t="s">
        <v>76</v>
      </c>
      <c r="BN10" s="277">
        <f t="shared" ref="BN10:BS10" si="15">SUM(BN11:BN13)</f>
        <v>72</v>
      </c>
      <c r="BO10" s="277">
        <f t="shared" si="15"/>
        <v>4056</v>
      </c>
      <c r="BP10" s="277">
        <f t="shared" si="15"/>
        <v>1304</v>
      </c>
      <c r="BQ10" s="277">
        <f t="shared" si="15"/>
        <v>178</v>
      </c>
      <c r="BR10" s="277">
        <f t="shared" si="15"/>
        <v>13800.5</v>
      </c>
      <c r="BS10" s="277">
        <f t="shared" si="15"/>
        <v>2744</v>
      </c>
      <c r="BT10" s="26"/>
    </row>
    <row r="11" spans="1:72" ht="25.7" customHeight="1" x14ac:dyDescent="0.2">
      <c r="A11" s="7"/>
      <c r="B11" s="7"/>
      <c r="C11" s="7"/>
      <c r="D11" s="7"/>
      <c r="E11" s="7"/>
      <c r="F11" s="7"/>
      <c r="G11" s="7"/>
      <c r="H11" s="85"/>
      <c r="I11" s="219" t="s">
        <v>624</v>
      </c>
      <c r="J11" s="240">
        <v>303874</v>
      </c>
      <c r="K11" s="240">
        <v>0</v>
      </c>
      <c r="L11" s="227">
        <v>0</v>
      </c>
      <c r="M11" s="227">
        <v>0</v>
      </c>
      <c r="N11" s="227">
        <v>0</v>
      </c>
      <c r="O11" s="220">
        <f t="shared" si="0"/>
        <v>0</v>
      </c>
      <c r="P11" s="220">
        <f t="shared" si="1"/>
        <v>0</v>
      </c>
      <c r="Q11" s="240">
        <v>0</v>
      </c>
      <c r="R11" s="220">
        <f t="shared" si="2"/>
        <v>0</v>
      </c>
      <c r="S11" s="26"/>
      <c r="AB11" s="219" t="s">
        <v>624</v>
      </c>
      <c r="AC11" s="240">
        <v>10904</v>
      </c>
      <c r="AD11" s="240">
        <v>0</v>
      </c>
      <c r="AE11" s="240">
        <v>0</v>
      </c>
      <c r="AF11" s="240">
        <v>0</v>
      </c>
      <c r="AG11" s="240">
        <v>0</v>
      </c>
      <c r="AH11" s="220">
        <f t="shared" si="3"/>
        <v>0</v>
      </c>
      <c r="AI11" s="220">
        <f t="shared" si="4"/>
        <v>0</v>
      </c>
      <c r="AJ11" s="240">
        <v>0</v>
      </c>
      <c r="AK11" s="220">
        <f t="shared" si="5"/>
        <v>0</v>
      </c>
      <c r="AL11" s="26"/>
      <c r="BB11" s="219" t="s">
        <v>624</v>
      </c>
      <c r="BC11" s="194">
        <f t="shared" si="6"/>
        <v>314778</v>
      </c>
      <c r="BD11" s="225">
        <v>0</v>
      </c>
      <c r="BE11" s="246">
        <f t="shared" si="11"/>
        <v>0</v>
      </c>
      <c r="BF11" s="246">
        <f t="shared" si="12"/>
        <v>0</v>
      </c>
      <c r="BG11" s="246">
        <f t="shared" si="13"/>
        <v>0</v>
      </c>
      <c r="BH11" s="210">
        <f t="shared" si="7"/>
        <v>0</v>
      </c>
      <c r="BI11" s="210">
        <f t="shared" si="8"/>
        <v>0</v>
      </c>
      <c r="BJ11" s="246">
        <f t="shared" si="9"/>
        <v>0</v>
      </c>
      <c r="BK11" s="210">
        <f t="shared" si="10"/>
        <v>0</v>
      </c>
      <c r="BL11" s="55"/>
      <c r="BM11" s="219" t="s">
        <v>624</v>
      </c>
      <c r="BN11" s="240">
        <v>0</v>
      </c>
      <c r="BO11" s="240">
        <v>0</v>
      </c>
      <c r="BP11" s="240">
        <v>0</v>
      </c>
      <c r="BQ11" s="240">
        <v>0</v>
      </c>
      <c r="BR11" s="240">
        <v>0</v>
      </c>
      <c r="BS11" s="240">
        <v>0</v>
      </c>
      <c r="BT11" s="26"/>
    </row>
    <row r="12" spans="1:72" ht="21.6" customHeight="1" x14ac:dyDescent="0.2">
      <c r="A12" s="7"/>
      <c r="B12" s="7"/>
      <c r="C12" s="7"/>
      <c r="D12" s="7"/>
      <c r="E12" s="7"/>
      <c r="F12" s="7"/>
      <c r="G12" s="7"/>
      <c r="H12" s="85"/>
      <c r="I12" s="219" t="s">
        <v>169</v>
      </c>
      <c r="J12" s="240">
        <v>2113119</v>
      </c>
      <c r="K12" s="240">
        <v>0</v>
      </c>
      <c r="L12" s="240">
        <v>0</v>
      </c>
      <c r="M12" s="240">
        <v>2</v>
      </c>
      <c r="N12" s="240">
        <v>4</v>
      </c>
      <c r="O12" s="220">
        <f t="shared" si="0"/>
        <v>0.3785872920550144</v>
      </c>
      <c r="P12" s="220">
        <f t="shared" si="1"/>
        <v>0.5678809380825216</v>
      </c>
      <c r="Q12" s="240">
        <v>4</v>
      </c>
      <c r="R12" s="220">
        <f t="shared" si="2"/>
        <v>0.3785872920550144</v>
      </c>
      <c r="S12" s="26"/>
      <c r="AB12" s="219" t="s">
        <v>169</v>
      </c>
      <c r="AC12" s="240">
        <v>2285699</v>
      </c>
      <c r="AD12" s="240">
        <v>0</v>
      </c>
      <c r="AE12" s="240">
        <v>4</v>
      </c>
      <c r="AF12" s="240">
        <v>4</v>
      </c>
      <c r="AG12" s="240">
        <v>4</v>
      </c>
      <c r="AH12" s="220">
        <f t="shared" si="3"/>
        <v>0.70000468128130611</v>
      </c>
      <c r="AI12" s="220">
        <f t="shared" si="4"/>
        <v>1.050007021921959</v>
      </c>
      <c r="AJ12" s="240">
        <v>3</v>
      </c>
      <c r="AK12" s="220">
        <f t="shared" si="5"/>
        <v>0.26250175548048976</v>
      </c>
      <c r="AL12" s="26"/>
      <c r="BB12" s="219" t="s">
        <v>169</v>
      </c>
      <c r="BC12" s="194">
        <f t="shared" si="6"/>
        <v>4398818</v>
      </c>
      <c r="BD12" s="225">
        <v>0</v>
      </c>
      <c r="BE12" s="246">
        <f t="shared" si="11"/>
        <v>4</v>
      </c>
      <c r="BF12" s="246">
        <f t="shared" si="12"/>
        <v>6</v>
      </c>
      <c r="BG12" s="246">
        <f t="shared" si="13"/>
        <v>8</v>
      </c>
      <c r="BH12" s="210">
        <f t="shared" si="7"/>
        <v>0.54560111375374021</v>
      </c>
      <c r="BI12" s="210">
        <f t="shared" si="8"/>
        <v>0.81840167063061031</v>
      </c>
      <c r="BJ12" s="246">
        <f t="shared" si="9"/>
        <v>7</v>
      </c>
      <c r="BK12" s="210">
        <f t="shared" si="10"/>
        <v>0.31826731635634847</v>
      </c>
      <c r="BL12" s="55"/>
      <c r="BM12" s="219" t="s">
        <v>169</v>
      </c>
      <c r="BN12" s="240">
        <v>1</v>
      </c>
      <c r="BO12" s="240">
        <v>156</v>
      </c>
      <c r="BP12" s="240">
        <v>104</v>
      </c>
      <c r="BQ12" s="240">
        <v>97</v>
      </c>
      <c r="BR12" s="240">
        <v>7311</v>
      </c>
      <c r="BS12" s="240">
        <v>1271</v>
      </c>
      <c r="BT12" s="26"/>
    </row>
    <row r="13" spans="1:72" ht="21.6" customHeight="1" x14ac:dyDescent="0.2">
      <c r="A13" s="7"/>
      <c r="B13" s="7"/>
      <c r="C13" s="7"/>
      <c r="D13" s="7"/>
      <c r="E13" s="7"/>
      <c r="F13" s="7"/>
      <c r="G13" s="7"/>
      <c r="H13" s="85"/>
      <c r="I13" s="219" t="s">
        <v>14</v>
      </c>
      <c r="J13" s="240">
        <v>1396226</v>
      </c>
      <c r="K13" s="240">
        <v>0</v>
      </c>
      <c r="L13" s="240">
        <v>4</v>
      </c>
      <c r="M13" s="240">
        <v>1</v>
      </c>
      <c r="N13" s="240">
        <v>0</v>
      </c>
      <c r="O13" s="220">
        <f t="shared" si="0"/>
        <v>0.57297314331633986</v>
      </c>
      <c r="P13" s="220">
        <f t="shared" si="1"/>
        <v>0.71621642914542483</v>
      </c>
      <c r="Q13" s="240">
        <v>3</v>
      </c>
      <c r="R13" s="220">
        <f t="shared" si="2"/>
        <v>0.42972985748725495</v>
      </c>
      <c r="S13" s="26"/>
      <c r="AB13" s="219" t="s">
        <v>14</v>
      </c>
      <c r="AC13" s="240">
        <v>1397239</v>
      </c>
      <c r="AD13" s="240">
        <v>0</v>
      </c>
      <c r="AE13" s="240">
        <v>5</v>
      </c>
      <c r="AF13" s="240">
        <v>1</v>
      </c>
      <c r="AG13" s="240">
        <v>3</v>
      </c>
      <c r="AH13" s="220">
        <f t="shared" si="3"/>
        <v>1.1451154741601115</v>
      </c>
      <c r="AI13" s="220">
        <f t="shared" si="4"/>
        <v>1.2882549084301254</v>
      </c>
      <c r="AJ13" s="240">
        <v>3</v>
      </c>
      <c r="AK13" s="220">
        <f t="shared" si="5"/>
        <v>0.42941830281004179</v>
      </c>
      <c r="AL13" s="26"/>
      <c r="BB13" s="219" t="s">
        <v>14</v>
      </c>
      <c r="BC13" s="194">
        <f t="shared" si="6"/>
        <v>2793465</v>
      </c>
      <c r="BD13" s="225">
        <v>0</v>
      </c>
      <c r="BE13" s="246">
        <f t="shared" si="11"/>
        <v>9</v>
      </c>
      <c r="BF13" s="246">
        <f t="shared" si="12"/>
        <v>2</v>
      </c>
      <c r="BG13" s="246">
        <f t="shared" si="13"/>
        <v>3</v>
      </c>
      <c r="BH13" s="210">
        <f t="shared" si="7"/>
        <v>0.85914804731757866</v>
      </c>
      <c r="BI13" s="210">
        <f t="shared" si="8"/>
        <v>1.0023393885371752</v>
      </c>
      <c r="BJ13" s="246">
        <f t="shared" si="9"/>
        <v>6</v>
      </c>
      <c r="BK13" s="210">
        <f t="shared" si="10"/>
        <v>0.42957402365878933</v>
      </c>
      <c r="BL13" s="55"/>
      <c r="BM13" s="219" t="s">
        <v>14</v>
      </c>
      <c r="BN13" s="240">
        <v>71</v>
      </c>
      <c r="BO13" s="240">
        <v>3900</v>
      </c>
      <c r="BP13" s="240">
        <v>1200</v>
      </c>
      <c r="BQ13" s="240">
        <v>81</v>
      </c>
      <c r="BR13" s="240">
        <v>6489.5</v>
      </c>
      <c r="BS13" s="240">
        <v>1473</v>
      </c>
      <c r="BT13" s="26"/>
    </row>
    <row r="14" spans="1:72" ht="21.6" customHeight="1" x14ac:dyDescent="0.2">
      <c r="A14" s="7"/>
      <c r="B14" s="7"/>
      <c r="C14" s="7"/>
      <c r="D14" s="7"/>
      <c r="E14" s="7"/>
      <c r="F14" s="7"/>
      <c r="G14" s="7"/>
      <c r="H14" s="85"/>
      <c r="I14" s="219" t="s">
        <v>620</v>
      </c>
      <c r="J14" s="240">
        <v>277058</v>
      </c>
      <c r="K14" s="240">
        <v>0</v>
      </c>
      <c r="L14" s="240">
        <v>0</v>
      </c>
      <c r="M14" s="240">
        <v>0</v>
      </c>
      <c r="N14" s="240">
        <v>0</v>
      </c>
      <c r="O14" s="220">
        <f t="shared" si="0"/>
        <v>0</v>
      </c>
      <c r="P14" s="220">
        <f t="shared" si="1"/>
        <v>0</v>
      </c>
      <c r="Q14" s="240">
        <v>0</v>
      </c>
      <c r="R14" s="220">
        <f t="shared" si="2"/>
        <v>0</v>
      </c>
      <c r="S14" s="26"/>
      <c r="AB14" s="219" t="s">
        <v>620</v>
      </c>
      <c r="AC14" s="240">
        <v>8217</v>
      </c>
      <c r="AD14" s="240">
        <v>0</v>
      </c>
      <c r="AE14" s="240">
        <v>0</v>
      </c>
      <c r="AF14" s="240">
        <v>0</v>
      </c>
      <c r="AG14" s="240">
        <v>0</v>
      </c>
      <c r="AH14" s="220">
        <f t="shared" si="3"/>
        <v>0</v>
      </c>
      <c r="AI14" s="220">
        <f t="shared" si="4"/>
        <v>0</v>
      </c>
      <c r="AJ14" s="240">
        <v>0</v>
      </c>
      <c r="AK14" s="220">
        <f t="shared" si="5"/>
        <v>0</v>
      </c>
      <c r="AL14" s="26"/>
      <c r="BB14" s="219" t="s">
        <v>620</v>
      </c>
      <c r="BC14" s="194">
        <f t="shared" si="6"/>
        <v>285275</v>
      </c>
      <c r="BD14" s="225">
        <v>0</v>
      </c>
      <c r="BE14" s="246">
        <f t="shared" si="11"/>
        <v>0</v>
      </c>
      <c r="BF14" s="246">
        <f t="shared" si="12"/>
        <v>0</v>
      </c>
      <c r="BG14" s="246">
        <f t="shared" si="13"/>
        <v>0</v>
      </c>
      <c r="BH14" s="210">
        <f t="shared" si="7"/>
        <v>0</v>
      </c>
      <c r="BI14" s="210">
        <f t="shared" si="8"/>
        <v>0</v>
      </c>
      <c r="BJ14" s="246">
        <f t="shared" si="9"/>
        <v>0</v>
      </c>
      <c r="BK14" s="210">
        <f t="shared" si="10"/>
        <v>0</v>
      </c>
      <c r="BL14" s="55"/>
      <c r="BM14" s="276" t="s">
        <v>79</v>
      </c>
      <c r="BN14" s="277">
        <f t="shared" ref="BN14:BS14" si="16">SUM(BN15:BN18)</f>
        <v>23</v>
      </c>
      <c r="BO14" s="277">
        <f t="shared" si="16"/>
        <v>514</v>
      </c>
      <c r="BP14" s="277">
        <f t="shared" si="16"/>
        <v>641</v>
      </c>
      <c r="BQ14" s="277">
        <f t="shared" si="16"/>
        <v>869</v>
      </c>
      <c r="BR14" s="277">
        <f t="shared" si="16"/>
        <v>15565</v>
      </c>
      <c r="BS14" s="277">
        <f t="shared" si="16"/>
        <v>1488</v>
      </c>
      <c r="BT14" s="26"/>
    </row>
    <row r="15" spans="1:72" ht="21.6" customHeight="1" x14ac:dyDescent="0.2">
      <c r="A15" s="7"/>
      <c r="B15" s="7"/>
      <c r="C15" s="7"/>
      <c r="D15" s="7"/>
      <c r="E15" s="7"/>
      <c r="F15" s="7"/>
      <c r="G15" s="7"/>
      <c r="H15" s="85"/>
      <c r="I15" s="219" t="s">
        <v>625</v>
      </c>
      <c r="J15" s="240">
        <v>50490</v>
      </c>
      <c r="K15" s="240">
        <v>0</v>
      </c>
      <c r="L15" s="288">
        <v>0</v>
      </c>
      <c r="M15" s="240">
        <v>0</v>
      </c>
      <c r="N15" s="240">
        <v>0</v>
      </c>
      <c r="O15" s="220">
        <f t="shared" si="0"/>
        <v>0</v>
      </c>
      <c r="P15" s="220">
        <f t="shared" si="1"/>
        <v>0</v>
      </c>
      <c r="Q15" s="240">
        <v>0</v>
      </c>
      <c r="R15" s="220">
        <f t="shared" si="2"/>
        <v>0</v>
      </c>
      <c r="S15" s="26"/>
      <c r="AB15" s="219" t="s">
        <v>625</v>
      </c>
      <c r="AC15" s="240">
        <v>334511</v>
      </c>
      <c r="AD15" s="240">
        <v>0</v>
      </c>
      <c r="AE15" s="240">
        <v>1</v>
      </c>
      <c r="AF15" s="240">
        <v>0</v>
      </c>
      <c r="AG15" s="240">
        <v>0</v>
      </c>
      <c r="AH15" s="220">
        <f t="shared" si="3"/>
        <v>0.59788766288702011</v>
      </c>
      <c r="AI15" s="220">
        <f t="shared" si="4"/>
        <v>0.59788766288702011</v>
      </c>
      <c r="AJ15" s="240">
        <v>0</v>
      </c>
      <c r="AK15" s="220">
        <f t="shared" si="5"/>
        <v>0</v>
      </c>
      <c r="AL15" s="26"/>
      <c r="BB15" s="219" t="s">
        <v>625</v>
      </c>
      <c r="BC15" s="194">
        <f t="shared" si="6"/>
        <v>385001</v>
      </c>
      <c r="BD15" s="225">
        <v>0</v>
      </c>
      <c r="BE15" s="246">
        <f t="shared" si="11"/>
        <v>1</v>
      </c>
      <c r="BF15" s="246">
        <f t="shared" si="12"/>
        <v>0</v>
      </c>
      <c r="BG15" s="246">
        <f t="shared" si="13"/>
        <v>0</v>
      </c>
      <c r="BH15" s="210">
        <f t="shared" si="7"/>
        <v>0.51947917018397349</v>
      </c>
      <c r="BI15" s="210">
        <f t="shared" si="8"/>
        <v>0.51947917018397349</v>
      </c>
      <c r="BJ15" s="246">
        <f t="shared" si="9"/>
        <v>0</v>
      </c>
      <c r="BK15" s="210">
        <f t="shared" si="10"/>
        <v>0</v>
      </c>
      <c r="BL15" s="55"/>
      <c r="BM15" s="219" t="s">
        <v>626</v>
      </c>
      <c r="BN15" s="240">
        <v>0</v>
      </c>
      <c r="BO15" s="240">
        <v>0</v>
      </c>
      <c r="BP15" s="240">
        <v>0</v>
      </c>
      <c r="BQ15" s="240">
        <v>0</v>
      </c>
      <c r="BR15" s="240">
        <v>0</v>
      </c>
      <c r="BS15" s="240">
        <v>0</v>
      </c>
      <c r="BT15" s="26"/>
    </row>
    <row r="16" spans="1:72" ht="21.6" customHeight="1" x14ac:dyDescent="0.2">
      <c r="A16" s="7"/>
      <c r="B16" s="7"/>
      <c r="C16" s="7"/>
      <c r="D16" s="7"/>
      <c r="E16" s="7"/>
      <c r="F16" s="7"/>
      <c r="G16" s="7"/>
      <c r="H16" s="85"/>
      <c r="I16" s="219" t="s">
        <v>627</v>
      </c>
      <c r="J16" s="240">
        <v>4860</v>
      </c>
      <c r="K16" s="240">
        <v>0</v>
      </c>
      <c r="L16" s="240">
        <v>0</v>
      </c>
      <c r="M16" s="240">
        <v>0</v>
      </c>
      <c r="N16" s="240">
        <v>0</v>
      </c>
      <c r="O16" s="220">
        <f t="shared" si="0"/>
        <v>0</v>
      </c>
      <c r="P16" s="220">
        <f t="shared" si="1"/>
        <v>0</v>
      </c>
      <c r="Q16" s="240">
        <v>0</v>
      </c>
      <c r="R16" s="220">
        <f t="shared" si="2"/>
        <v>0</v>
      </c>
      <c r="S16" s="26"/>
      <c r="AB16" s="219" t="s">
        <v>627</v>
      </c>
      <c r="AC16" s="240">
        <v>6372</v>
      </c>
      <c r="AD16" s="240">
        <v>0</v>
      </c>
      <c r="AE16" s="240">
        <v>0</v>
      </c>
      <c r="AF16" s="240">
        <v>0</v>
      </c>
      <c r="AG16" s="240">
        <v>0</v>
      </c>
      <c r="AH16" s="220">
        <f t="shared" si="3"/>
        <v>0</v>
      </c>
      <c r="AI16" s="220">
        <f t="shared" si="4"/>
        <v>0</v>
      </c>
      <c r="AJ16" s="240">
        <v>0</v>
      </c>
      <c r="AK16" s="220">
        <f t="shared" si="5"/>
        <v>0</v>
      </c>
      <c r="AL16" s="26"/>
      <c r="BB16" s="219" t="s">
        <v>627</v>
      </c>
      <c r="BC16" s="194">
        <f t="shared" si="6"/>
        <v>11232</v>
      </c>
      <c r="BD16" s="225">
        <v>0</v>
      </c>
      <c r="BE16" s="246">
        <f t="shared" si="11"/>
        <v>0</v>
      </c>
      <c r="BF16" s="246">
        <f t="shared" si="12"/>
        <v>0</v>
      </c>
      <c r="BG16" s="246">
        <f t="shared" si="13"/>
        <v>0</v>
      </c>
      <c r="BH16" s="210">
        <f t="shared" si="7"/>
        <v>0</v>
      </c>
      <c r="BI16" s="210">
        <f t="shared" si="8"/>
        <v>0</v>
      </c>
      <c r="BJ16" s="246">
        <f t="shared" si="9"/>
        <v>0</v>
      </c>
      <c r="BK16" s="210">
        <f t="shared" si="10"/>
        <v>0</v>
      </c>
      <c r="BL16" s="55"/>
      <c r="BM16" s="219" t="s">
        <v>628</v>
      </c>
      <c r="BN16" s="240">
        <v>1</v>
      </c>
      <c r="BO16" s="240">
        <v>20</v>
      </c>
      <c r="BP16" s="240">
        <v>10</v>
      </c>
      <c r="BQ16" s="240">
        <v>16</v>
      </c>
      <c r="BR16" s="240">
        <v>548</v>
      </c>
      <c r="BS16" s="240">
        <v>70</v>
      </c>
      <c r="BT16" s="26"/>
    </row>
    <row r="17" spans="1:72" ht="21.6" customHeight="1" x14ac:dyDescent="0.2">
      <c r="A17" s="7"/>
      <c r="B17" s="7"/>
      <c r="C17" s="7"/>
      <c r="D17" s="7"/>
      <c r="E17" s="7"/>
      <c r="F17" s="7"/>
      <c r="G17" s="7"/>
      <c r="H17" s="85"/>
      <c r="I17" s="276" t="s">
        <v>79</v>
      </c>
      <c r="J17" s="277">
        <f>SUM(J18:J22)</f>
        <v>2026339</v>
      </c>
      <c r="K17" s="277">
        <v>0</v>
      </c>
      <c r="L17" s="277">
        <f>SUM(L18:L22)</f>
        <v>2</v>
      </c>
      <c r="M17" s="277">
        <f>SUM(M18:M22)</f>
        <v>2</v>
      </c>
      <c r="N17" s="277">
        <f>SUM(N18:N22)</f>
        <v>1</v>
      </c>
      <c r="O17" s="278">
        <f t="shared" si="0"/>
        <v>0.29610050440720925</v>
      </c>
      <c r="P17" s="278">
        <f t="shared" si="1"/>
        <v>0.49350084067868211</v>
      </c>
      <c r="Q17" s="277">
        <f>SUM(Q18:Q22)</f>
        <v>1</v>
      </c>
      <c r="R17" s="278">
        <f t="shared" si="2"/>
        <v>9.8700168135736413E-2</v>
      </c>
      <c r="S17" s="26"/>
      <c r="AB17" s="276" t="s">
        <v>79</v>
      </c>
      <c r="AC17" s="277">
        <f>SUM(AC18:AC22)</f>
        <v>870798</v>
      </c>
      <c r="AD17" s="277">
        <v>0</v>
      </c>
      <c r="AE17" s="277">
        <f>SUM(AE18:AE22)</f>
        <v>0</v>
      </c>
      <c r="AF17" s="277">
        <f>SUM(AF18:AF22)</f>
        <v>0</v>
      </c>
      <c r="AG17" s="277">
        <f>SUM(AG18:AG22)</f>
        <v>1</v>
      </c>
      <c r="AH17" s="278">
        <f t="shared" si="3"/>
        <v>0.22967439061642309</v>
      </c>
      <c r="AI17" s="278">
        <f t="shared" si="4"/>
        <v>0.22967439061642309</v>
      </c>
      <c r="AJ17" s="277">
        <f>SUM(AJ18:AJ22)</f>
        <v>0</v>
      </c>
      <c r="AK17" s="278">
        <f t="shared" si="5"/>
        <v>0</v>
      </c>
      <c r="AL17" s="26"/>
      <c r="BB17" s="276" t="s">
        <v>79</v>
      </c>
      <c r="BC17" s="192">
        <f t="shared" si="6"/>
        <v>2897137</v>
      </c>
      <c r="BD17" s="283">
        <v>0</v>
      </c>
      <c r="BE17" s="287">
        <f t="shared" si="11"/>
        <v>2</v>
      </c>
      <c r="BF17" s="287">
        <f t="shared" si="12"/>
        <v>2</v>
      </c>
      <c r="BG17" s="287">
        <f t="shared" si="13"/>
        <v>2</v>
      </c>
      <c r="BH17" s="284">
        <f t="shared" si="7"/>
        <v>0.27613468054841728</v>
      </c>
      <c r="BI17" s="284">
        <f t="shared" si="8"/>
        <v>0.41420202082262592</v>
      </c>
      <c r="BJ17" s="287">
        <f t="shared" si="9"/>
        <v>1</v>
      </c>
      <c r="BK17" s="284">
        <f t="shared" si="10"/>
        <v>6.9033670137104319E-2</v>
      </c>
      <c r="BL17" s="55"/>
      <c r="BM17" s="219" t="s">
        <v>19</v>
      </c>
      <c r="BN17" s="240">
        <v>22</v>
      </c>
      <c r="BO17" s="240">
        <v>494</v>
      </c>
      <c r="BP17" s="240">
        <v>631</v>
      </c>
      <c r="BQ17" s="240">
        <v>853</v>
      </c>
      <c r="BR17" s="240">
        <v>15017</v>
      </c>
      <c r="BS17" s="240">
        <v>1418</v>
      </c>
      <c r="BT17" s="26"/>
    </row>
    <row r="18" spans="1:72" ht="21.6" customHeight="1" x14ac:dyDescent="0.2">
      <c r="A18" s="7"/>
      <c r="B18" s="7"/>
      <c r="C18" s="7"/>
      <c r="D18" s="7"/>
      <c r="E18" s="7"/>
      <c r="F18" s="7"/>
      <c r="G18" s="7"/>
      <c r="H18" s="85"/>
      <c r="I18" s="219" t="s">
        <v>626</v>
      </c>
      <c r="J18" s="240">
        <v>753286</v>
      </c>
      <c r="K18" s="240">
        <v>0</v>
      </c>
      <c r="L18" s="240">
        <v>0</v>
      </c>
      <c r="M18" s="240">
        <v>0</v>
      </c>
      <c r="N18" s="240">
        <v>0</v>
      </c>
      <c r="O18" s="220">
        <f t="shared" si="0"/>
        <v>0</v>
      </c>
      <c r="P18" s="220">
        <f t="shared" si="1"/>
        <v>0</v>
      </c>
      <c r="Q18" s="240">
        <v>0</v>
      </c>
      <c r="R18" s="220">
        <f t="shared" si="2"/>
        <v>0</v>
      </c>
      <c r="S18" s="26"/>
      <c r="AB18" s="219" t="s">
        <v>626</v>
      </c>
      <c r="AC18" s="240">
        <v>800773</v>
      </c>
      <c r="AD18" s="240">
        <v>0</v>
      </c>
      <c r="AE18" s="240">
        <v>0</v>
      </c>
      <c r="AF18" s="240">
        <v>0</v>
      </c>
      <c r="AG18" s="240">
        <v>0</v>
      </c>
      <c r="AH18" s="220">
        <f t="shared" si="3"/>
        <v>0</v>
      </c>
      <c r="AI18" s="220">
        <f t="shared" si="4"/>
        <v>0</v>
      </c>
      <c r="AJ18" s="240">
        <v>0</v>
      </c>
      <c r="AK18" s="220">
        <f t="shared" si="5"/>
        <v>0</v>
      </c>
      <c r="AL18" s="26"/>
      <c r="BB18" s="219" t="s">
        <v>629</v>
      </c>
      <c r="BC18" s="194">
        <f t="shared" si="6"/>
        <v>1554059</v>
      </c>
      <c r="BD18" s="225">
        <v>0</v>
      </c>
      <c r="BE18" s="246">
        <f t="shared" si="11"/>
        <v>0</v>
      </c>
      <c r="BF18" s="246">
        <f t="shared" si="12"/>
        <v>0</v>
      </c>
      <c r="BG18" s="246">
        <f t="shared" si="13"/>
        <v>0</v>
      </c>
      <c r="BH18" s="210">
        <f t="shared" si="7"/>
        <v>0</v>
      </c>
      <c r="BI18" s="210">
        <f t="shared" si="8"/>
        <v>0</v>
      </c>
      <c r="BJ18" s="246">
        <f t="shared" si="9"/>
        <v>0</v>
      </c>
      <c r="BK18" s="210">
        <f t="shared" si="10"/>
        <v>0</v>
      </c>
      <c r="BL18" s="55"/>
      <c r="BM18" s="219" t="s">
        <v>630</v>
      </c>
      <c r="BN18" s="240">
        <v>0</v>
      </c>
      <c r="BO18" s="240">
        <v>0</v>
      </c>
      <c r="BP18" s="240">
        <v>0</v>
      </c>
      <c r="BQ18" s="240">
        <v>0</v>
      </c>
      <c r="BR18" s="240">
        <v>0</v>
      </c>
      <c r="BS18" s="240">
        <v>0</v>
      </c>
      <c r="BT18" s="26"/>
    </row>
    <row r="19" spans="1:72" ht="21.6" customHeight="1" x14ac:dyDescent="0.2">
      <c r="A19" s="7"/>
      <c r="B19" s="7"/>
      <c r="C19" s="7"/>
      <c r="D19" s="7"/>
      <c r="E19" s="7"/>
      <c r="F19" s="7"/>
      <c r="G19" s="7"/>
      <c r="H19" s="85"/>
      <c r="I19" s="219" t="s">
        <v>628</v>
      </c>
      <c r="J19" s="240">
        <v>115034</v>
      </c>
      <c r="K19" s="240">
        <v>0</v>
      </c>
      <c r="L19" s="240">
        <v>0</v>
      </c>
      <c r="M19" s="240">
        <v>0</v>
      </c>
      <c r="N19" s="240">
        <v>0</v>
      </c>
      <c r="O19" s="220">
        <f t="shared" si="0"/>
        <v>0</v>
      </c>
      <c r="P19" s="220">
        <f t="shared" si="1"/>
        <v>0</v>
      </c>
      <c r="Q19" s="240">
        <v>0</v>
      </c>
      <c r="R19" s="220">
        <f t="shared" si="2"/>
        <v>0</v>
      </c>
      <c r="S19" s="26"/>
      <c r="AB19" s="219" t="s">
        <v>628</v>
      </c>
      <c r="AC19" s="240">
        <v>13547</v>
      </c>
      <c r="AD19" s="240">
        <v>0</v>
      </c>
      <c r="AE19" s="240">
        <v>0</v>
      </c>
      <c r="AF19" s="240">
        <v>0</v>
      </c>
      <c r="AG19" s="240">
        <v>0</v>
      </c>
      <c r="AH19" s="220">
        <f t="shared" si="3"/>
        <v>0</v>
      </c>
      <c r="AI19" s="220">
        <f t="shared" si="4"/>
        <v>0</v>
      </c>
      <c r="AJ19" s="240">
        <v>0</v>
      </c>
      <c r="AK19" s="220">
        <f t="shared" si="5"/>
        <v>0</v>
      </c>
      <c r="AL19" s="26"/>
      <c r="BB19" s="219" t="s">
        <v>631</v>
      </c>
      <c r="BC19" s="194">
        <f t="shared" si="6"/>
        <v>128581</v>
      </c>
      <c r="BD19" s="225">
        <v>0</v>
      </c>
      <c r="BE19" s="246">
        <f t="shared" si="11"/>
        <v>0</v>
      </c>
      <c r="BF19" s="246">
        <f t="shared" si="12"/>
        <v>0</v>
      </c>
      <c r="BG19" s="246">
        <f t="shared" si="13"/>
        <v>0</v>
      </c>
      <c r="BH19" s="210">
        <f t="shared" si="7"/>
        <v>0</v>
      </c>
      <c r="BI19" s="210">
        <f t="shared" si="8"/>
        <v>0</v>
      </c>
      <c r="BJ19" s="246">
        <f t="shared" si="9"/>
        <v>0</v>
      </c>
      <c r="BK19" s="210">
        <f t="shared" si="10"/>
        <v>0</v>
      </c>
      <c r="BL19" s="55"/>
      <c r="BM19" s="276" t="s">
        <v>86</v>
      </c>
      <c r="BN19" s="277">
        <f t="shared" ref="BN19:BS19" si="17">BN20</f>
        <v>595</v>
      </c>
      <c r="BO19" s="277">
        <f t="shared" si="17"/>
        <v>24858</v>
      </c>
      <c r="BP19" s="277">
        <f t="shared" si="17"/>
        <v>14287</v>
      </c>
      <c r="BQ19" s="277">
        <f t="shared" si="17"/>
        <v>244</v>
      </c>
      <c r="BR19" s="277">
        <f t="shared" si="17"/>
        <v>6601</v>
      </c>
      <c r="BS19" s="277">
        <f t="shared" si="17"/>
        <v>4653</v>
      </c>
      <c r="BT19" s="26"/>
    </row>
    <row r="20" spans="1:72" ht="32.450000000000003" customHeight="1" x14ac:dyDescent="0.2">
      <c r="A20" s="7"/>
      <c r="B20" s="7"/>
      <c r="C20" s="7"/>
      <c r="D20" s="7"/>
      <c r="E20" s="7"/>
      <c r="F20" s="7"/>
      <c r="G20" s="7"/>
      <c r="H20" s="85"/>
      <c r="I20" s="219" t="s">
        <v>19</v>
      </c>
      <c r="J20" s="240">
        <v>1080625</v>
      </c>
      <c r="K20" s="240">
        <v>0</v>
      </c>
      <c r="L20" s="240">
        <v>2</v>
      </c>
      <c r="M20" s="240">
        <v>2</v>
      </c>
      <c r="N20" s="240">
        <v>1</v>
      </c>
      <c r="O20" s="220">
        <f t="shared" si="0"/>
        <v>0.5552342394447658</v>
      </c>
      <c r="P20" s="220">
        <f t="shared" si="1"/>
        <v>0.92539039907460963</v>
      </c>
      <c r="Q20" s="240">
        <v>1</v>
      </c>
      <c r="R20" s="220">
        <f t="shared" si="2"/>
        <v>0.18507807981492191</v>
      </c>
      <c r="S20" s="26"/>
      <c r="AB20" s="219" t="s">
        <v>19</v>
      </c>
      <c r="AC20" s="240">
        <v>53174</v>
      </c>
      <c r="AD20" s="240">
        <v>0</v>
      </c>
      <c r="AE20" s="240">
        <v>0</v>
      </c>
      <c r="AF20" s="240">
        <v>0</v>
      </c>
      <c r="AG20" s="240">
        <v>1</v>
      </c>
      <c r="AH20" s="220">
        <f t="shared" si="3"/>
        <v>3.7612366946251927</v>
      </c>
      <c r="AI20" s="220">
        <f t="shared" si="4"/>
        <v>3.7612366946251927</v>
      </c>
      <c r="AJ20" s="240">
        <v>0</v>
      </c>
      <c r="AK20" s="220">
        <f t="shared" si="5"/>
        <v>0</v>
      </c>
      <c r="AL20" s="26"/>
      <c r="BB20" s="219" t="s">
        <v>19</v>
      </c>
      <c r="BC20" s="194">
        <f t="shared" si="6"/>
        <v>1133799</v>
      </c>
      <c r="BD20" s="225">
        <v>0</v>
      </c>
      <c r="BE20" s="246">
        <f t="shared" si="11"/>
        <v>2</v>
      </c>
      <c r="BF20" s="246">
        <f t="shared" si="12"/>
        <v>2</v>
      </c>
      <c r="BG20" s="246">
        <f t="shared" si="13"/>
        <v>2</v>
      </c>
      <c r="BH20" s="210">
        <f t="shared" si="7"/>
        <v>0.70559243746025535</v>
      </c>
      <c r="BI20" s="210">
        <f t="shared" si="8"/>
        <v>1.058388656190383</v>
      </c>
      <c r="BJ20" s="246">
        <f t="shared" si="9"/>
        <v>1</v>
      </c>
      <c r="BK20" s="210">
        <f t="shared" si="10"/>
        <v>0.17639810936506384</v>
      </c>
      <c r="BL20" s="55"/>
      <c r="BM20" s="219" t="s">
        <v>25</v>
      </c>
      <c r="BN20" s="225">
        <v>595</v>
      </c>
      <c r="BO20" s="225">
        <v>24858</v>
      </c>
      <c r="BP20" s="225">
        <v>14287</v>
      </c>
      <c r="BQ20" s="240">
        <v>244</v>
      </c>
      <c r="BR20" s="240">
        <v>6601</v>
      </c>
      <c r="BS20" s="240">
        <v>4653</v>
      </c>
      <c r="BT20" s="26"/>
    </row>
    <row r="21" spans="1:72" ht="29.1" customHeight="1" x14ac:dyDescent="0.2">
      <c r="A21" s="7"/>
      <c r="B21" s="7"/>
      <c r="C21" s="7"/>
      <c r="D21" s="7"/>
      <c r="E21" s="7"/>
      <c r="F21" s="7"/>
      <c r="G21" s="7"/>
      <c r="H21" s="85"/>
      <c r="I21" s="219" t="s">
        <v>632</v>
      </c>
      <c r="J21" s="240">
        <v>74970</v>
      </c>
      <c r="K21" s="240">
        <v>0</v>
      </c>
      <c r="L21" s="240">
        <v>0</v>
      </c>
      <c r="M21" s="240">
        <v>0</v>
      </c>
      <c r="N21" s="240">
        <v>0</v>
      </c>
      <c r="O21" s="220">
        <f t="shared" si="0"/>
        <v>0</v>
      </c>
      <c r="P21" s="220">
        <f t="shared" si="1"/>
        <v>0</v>
      </c>
      <c r="Q21" s="240">
        <v>0</v>
      </c>
      <c r="R21" s="220">
        <f t="shared" si="2"/>
        <v>0</v>
      </c>
      <c r="S21" s="26"/>
      <c r="AB21" s="219" t="s">
        <v>630</v>
      </c>
      <c r="AC21" s="240">
        <v>0</v>
      </c>
      <c r="AD21" s="240">
        <v>0</v>
      </c>
      <c r="AE21" s="240">
        <v>0</v>
      </c>
      <c r="AF21" s="240">
        <v>0</v>
      </c>
      <c r="AG21" s="240">
        <v>0</v>
      </c>
      <c r="AH21" s="220">
        <v>0</v>
      </c>
      <c r="AI21" s="220">
        <v>0</v>
      </c>
      <c r="AJ21" s="240">
        <v>0</v>
      </c>
      <c r="AK21" s="220">
        <v>0</v>
      </c>
      <c r="AL21" s="26"/>
      <c r="BB21" s="219" t="s">
        <v>630</v>
      </c>
      <c r="BC21" s="194">
        <f t="shared" si="6"/>
        <v>74970</v>
      </c>
      <c r="BD21" s="225">
        <v>0</v>
      </c>
      <c r="BE21" s="246">
        <f t="shared" si="11"/>
        <v>0</v>
      </c>
      <c r="BF21" s="246">
        <f t="shared" si="12"/>
        <v>0</v>
      </c>
      <c r="BG21" s="246">
        <f t="shared" si="13"/>
        <v>0</v>
      </c>
      <c r="BH21" s="210">
        <f t="shared" si="7"/>
        <v>0</v>
      </c>
      <c r="BI21" s="210">
        <f t="shared" si="8"/>
        <v>0</v>
      </c>
      <c r="BJ21" s="246">
        <f t="shared" si="9"/>
        <v>0</v>
      </c>
      <c r="BK21" s="210">
        <f t="shared" si="10"/>
        <v>0</v>
      </c>
      <c r="BL21" s="55"/>
      <c r="BM21" s="276" t="s">
        <v>89</v>
      </c>
      <c r="BN21" s="277">
        <f t="shared" ref="BN21:BS21" si="18">BN22</f>
        <v>1</v>
      </c>
      <c r="BO21" s="277">
        <f t="shared" si="18"/>
        <v>891</v>
      </c>
      <c r="BP21" s="277">
        <f t="shared" si="18"/>
        <v>470</v>
      </c>
      <c r="BQ21" s="277">
        <f t="shared" si="18"/>
        <v>98</v>
      </c>
      <c r="BR21" s="277">
        <f t="shared" si="18"/>
        <v>8982</v>
      </c>
      <c r="BS21" s="277">
        <f t="shared" si="18"/>
        <v>5306</v>
      </c>
      <c r="BT21" s="26"/>
    </row>
    <row r="22" spans="1:72" ht="21.6" customHeight="1" x14ac:dyDescent="0.2">
      <c r="A22" s="7"/>
      <c r="B22" s="7"/>
      <c r="C22" s="7"/>
      <c r="D22" s="7"/>
      <c r="E22" s="7"/>
      <c r="F22" s="7"/>
      <c r="G22" s="7"/>
      <c r="H22" s="85"/>
      <c r="I22" s="219" t="s">
        <v>627</v>
      </c>
      <c r="J22" s="240">
        <v>2424</v>
      </c>
      <c r="K22" s="240">
        <v>0</v>
      </c>
      <c r="L22" s="240">
        <v>0</v>
      </c>
      <c r="M22" s="240">
        <v>0</v>
      </c>
      <c r="N22" s="240">
        <v>0</v>
      </c>
      <c r="O22" s="220">
        <f t="shared" si="0"/>
        <v>0</v>
      </c>
      <c r="P22" s="220">
        <f t="shared" si="1"/>
        <v>0</v>
      </c>
      <c r="Q22" s="240">
        <v>0</v>
      </c>
      <c r="R22" s="220">
        <f t="shared" si="2"/>
        <v>0</v>
      </c>
      <c r="S22" s="26"/>
      <c r="AB22" s="219" t="s">
        <v>627</v>
      </c>
      <c r="AC22" s="240">
        <v>3304</v>
      </c>
      <c r="AD22" s="240">
        <v>0</v>
      </c>
      <c r="AE22" s="240">
        <v>0</v>
      </c>
      <c r="AF22" s="240">
        <v>0</v>
      </c>
      <c r="AG22" s="240">
        <v>0</v>
      </c>
      <c r="AH22" s="220">
        <f t="shared" ref="AH22:AH28" si="19">(AG22+AE22)*200000/AC22</f>
        <v>0</v>
      </c>
      <c r="AI22" s="220">
        <f t="shared" ref="AI22:AI28" si="20">SUM(AE22:AG22)*200000/AC22</f>
        <v>0</v>
      </c>
      <c r="AJ22" s="240">
        <v>0</v>
      </c>
      <c r="AK22" s="220">
        <f t="shared" ref="AK22:AK28" si="21">AJ22*200000/AC22</f>
        <v>0</v>
      </c>
      <c r="AL22" s="26"/>
      <c r="BB22" s="219" t="s">
        <v>627</v>
      </c>
      <c r="BC22" s="194">
        <f t="shared" si="6"/>
        <v>5728</v>
      </c>
      <c r="BD22" s="225">
        <v>0</v>
      </c>
      <c r="BE22" s="246">
        <f t="shared" si="11"/>
        <v>0</v>
      </c>
      <c r="BF22" s="246">
        <f t="shared" si="12"/>
        <v>0</v>
      </c>
      <c r="BG22" s="246">
        <f t="shared" si="13"/>
        <v>0</v>
      </c>
      <c r="BH22" s="210">
        <f t="shared" si="7"/>
        <v>0</v>
      </c>
      <c r="BI22" s="210">
        <f t="shared" si="8"/>
        <v>0</v>
      </c>
      <c r="BJ22" s="246">
        <f t="shared" si="9"/>
        <v>0</v>
      </c>
      <c r="BK22" s="210">
        <f t="shared" si="10"/>
        <v>0</v>
      </c>
      <c r="BL22" s="55"/>
      <c r="BM22" s="219" t="s">
        <v>11</v>
      </c>
      <c r="BN22" s="225">
        <v>1</v>
      </c>
      <c r="BO22" s="225">
        <v>891</v>
      </c>
      <c r="BP22" s="225">
        <v>470</v>
      </c>
      <c r="BQ22" s="240">
        <v>98</v>
      </c>
      <c r="BR22" s="240">
        <v>8982</v>
      </c>
      <c r="BS22" s="240">
        <v>5306</v>
      </c>
      <c r="BT22" s="26"/>
    </row>
    <row r="23" spans="1:72" ht="27.6" customHeight="1" x14ac:dyDescent="0.2">
      <c r="A23" s="7"/>
      <c r="B23" s="7"/>
      <c r="C23" s="7"/>
      <c r="D23" s="7"/>
      <c r="E23" s="7"/>
      <c r="F23" s="7"/>
      <c r="G23" s="7"/>
      <c r="H23" s="85"/>
      <c r="I23" s="276" t="s">
        <v>82</v>
      </c>
      <c r="J23" s="277">
        <f>SUM(J24:J28)</f>
        <v>3939362.7199999997</v>
      </c>
      <c r="K23" s="277">
        <v>0</v>
      </c>
      <c r="L23" s="277">
        <f>SUM(L24:L28)</f>
        <v>0</v>
      </c>
      <c r="M23" s="277">
        <f>SUM(M24:M28)</f>
        <v>4</v>
      </c>
      <c r="N23" s="277">
        <f>SUM(N24:N28)</f>
        <v>3</v>
      </c>
      <c r="O23" s="278">
        <f t="shared" si="0"/>
        <v>0.15230889934400355</v>
      </c>
      <c r="P23" s="278">
        <f t="shared" si="1"/>
        <v>0.35538743180267496</v>
      </c>
      <c r="Q23" s="277">
        <f>SUM(Q24:Q28)</f>
        <v>0</v>
      </c>
      <c r="R23" s="278">
        <f t="shared" si="2"/>
        <v>0</v>
      </c>
      <c r="S23" s="26"/>
      <c r="AB23" s="276" t="s">
        <v>82</v>
      </c>
      <c r="AC23" s="277">
        <f>SUM(AC24:AC28)</f>
        <v>2244591.8199999998</v>
      </c>
      <c r="AD23" s="277">
        <v>0</v>
      </c>
      <c r="AE23" s="277">
        <f>SUM(AE24:AE28)</f>
        <v>0</v>
      </c>
      <c r="AF23" s="277">
        <f>SUM(AF24:AF28)</f>
        <v>3</v>
      </c>
      <c r="AG23" s="277">
        <f>SUM(AG24:AG28)</f>
        <v>1</v>
      </c>
      <c r="AH23" s="278">
        <f t="shared" si="19"/>
        <v>8.9103060172428153E-2</v>
      </c>
      <c r="AI23" s="278">
        <f t="shared" si="20"/>
        <v>0.35641224068971261</v>
      </c>
      <c r="AJ23" s="277">
        <f>SUM(AJ24:AJ28)</f>
        <v>0</v>
      </c>
      <c r="AK23" s="278">
        <f t="shared" si="21"/>
        <v>0</v>
      </c>
      <c r="AL23" s="26"/>
      <c r="BB23" s="276" t="s">
        <v>82</v>
      </c>
      <c r="BC23" s="192">
        <f t="shared" si="6"/>
        <v>6183954.5399999991</v>
      </c>
      <c r="BD23" s="283">
        <v>0</v>
      </c>
      <c r="BE23" s="287">
        <f t="shared" si="11"/>
        <v>0</v>
      </c>
      <c r="BF23" s="287">
        <f t="shared" si="12"/>
        <v>7</v>
      </c>
      <c r="BG23" s="287">
        <f t="shared" si="13"/>
        <v>4</v>
      </c>
      <c r="BH23" s="284">
        <f t="shared" si="7"/>
        <v>0.12936705708706586</v>
      </c>
      <c r="BI23" s="284">
        <f t="shared" si="8"/>
        <v>0.35575940698943115</v>
      </c>
      <c r="BJ23" s="287">
        <f t="shared" si="9"/>
        <v>0</v>
      </c>
      <c r="BK23" s="284">
        <f t="shared" si="10"/>
        <v>0</v>
      </c>
      <c r="BL23" s="55"/>
      <c r="BM23" s="276" t="s">
        <v>94</v>
      </c>
      <c r="BN23" s="277">
        <f t="shared" ref="BN23:BS23" si="22">BN24</f>
        <v>1</v>
      </c>
      <c r="BO23" s="277">
        <f t="shared" si="22"/>
        <v>2524</v>
      </c>
      <c r="BP23" s="277">
        <f t="shared" si="22"/>
        <v>631</v>
      </c>
      <c r="BQ23" s="277">
        <f t="shared" si="22"/>
        <v>16</v>
      </c>
      <c r="BR23" s="277">
        <f t="shared" si="22"/>
        <v>18229</v>
      </c>
      <c r="BS23" s="277">
        <f t="shared" si="22"/>
        <v>6005</v>
      </c>
      <c r="BT23" s="26"/>
    </row>
    <row r="24" spans="1:72" ht="27.6" customHeight="1" x14ac:dyDescent="0.2">
      <c r="A24" s="7"/>
      <c r="B24" s="7"/>
      <c r="C24" s="7"/>
      <c r="E24" s="7"/>
      <c r="F24" s="7"/>
      <c r="G24" s="7"/>
      <c r="H24" s="85"/>
      <c r="I24" s="219" t="s">
        <v>633</v>
      </c>
      <c r="J24" s="240">
        <v>630629.88</v>
      </c>
      <c r="K24" s="240">
        <v>0</v>
      </c>
      <c r="L24" s="240">
        <v>0</v>
      </c>
      <c r="M24" s="240">
        <v>0</v>
      </c>
      <c r="N24" s="240">
        <v>0</v>
      </c>
      <c r="O24" s="220">
        <f t="shared" si="0"/>
        <v>0</v>
      </c>
      <c r="P24" s="220">
        <f t="shared" si="1"/>
        <v>0</v>
      </c>
      <c r="Q24" s="240">
        <v>0</v>
      </c>
      <c r="R24" s="220">
        <f t="shared" si="2"/>
        <v>0</v>
      </c>
      <c r="S24" s="26"/>
      <c r="AB24" s="219" t="s">
        <v>633</v>
      </c>
      <c r="AC24" s="240">
        <v>53169.96</v>
      </c>
      <c r="AD24" s="240">
        <v>0</v>
      </c>
      <c r="AE24" s="240">
        <v>0</v>
      </c>
      <c r="AF24" s="240">
        <v>0</v>
      </c>
      <c r="AG24" s="240">
        <v>0</v>
      </c>
      <c r="AH24" s="220">
        <f t="shared" si="19"/>
        <v>0</v>
      </c>
      <c r="AI24" s="220">
        <f t="shared" si="20"/>
        <v>0</v>
      </c>
      <c r="AJ24" s="240">
        <v>0</v>
      </c>
      <c r="AK24" s="220">
        <f t="shared" si="21"/>
        <v>0</v>
      </c>
      <c r="AL24" s="26"/>
      <c r="BB24" s="219" t="s">
        <v>633</v>
      </c>
      <c r="BC24" s="194">
        <f t="shared" si="6"/>
        <v>683799.84</v>
      </c>
      <c r="BD24" s="225">
        <v>0</v>
      </c>
      <c r="BE24" s="246">
        <f t="shared" si="11"/>
        <v>0</v>
      </c>
      <c r="BF24" s="246">
        <f t="shared" si="12"/>
        <v>0</v>
      </c>
      <c r="BG24" s="246">
        <f t="shared" si="13"/>
        <v>0</v>
      </c>
      <c r="BH24" s="210">
        <f t="shared" si="7"/>
        <v>0</v>
      </c>
      <c r="BI24" s="210">
        <f t="shared" si="8"/>
        <v>0</v>
      </c>
      <c r="BJ24" s="246">
        <f t="shared" si="9"/>
        <v>0</v>
      </c>
      <c r="BK24" s="210">
        <f t="shared" si="10"/>
        <v>0</v>
      </c>
      <c r="BL24" s="55"/>
      <c r="BM24" s="219" t="s">
        <v>167</v>
      </c>
      <c r="BN24" s="225">
        <v>1</v>
      </c>
      <c r="BO24" s="225">
        <v>2524</v>
      </c>
      <c r="BP24" s="225">
        <v>631</v>
      </c>
      <c r="BQ24" s="240">
        <v>16</v>
      </c>
      <c r="BR24" s="240">
        <v>18229</v>
      </c>
      <c r="BS24" s="240">
        <v>6005</v>
      </c>
      <c r="BT24" s="26"/>
    </row>
    <row r="25" spans="1:72" ht="21.6" customHeight="1" x14ac:dyDescent="0.2">
      <c r="A25" s="7"/>
      <c r="B25" s="7"/>
      <c r="C25" s="7"/>
      <c r="D25" s="7"/>
      <c r="E25" s="7"/>
      <c r="F25" s="7"/>
      <c r="G25" s="7"/>
      <c r="H25" s="85"/>
      <c r="I25" s="219" t="s">
        <v>163</v>
      </c>
      <c r="J25" s="240">
        <v>1242131</v>
      </c>
      <c r="K25" s="240">
        <v>0</v>
      </c>
      <c r="L25" s="240">
        <v>0</v>
      </c>
      <c r="M25" s="240">
        <v>0</v>
      </c>
      <c r="N25" s="240">
        <v>0</v>
      </c>
      <c r="O25" s="220">
        <f t="shared" si="0"/>
        <v>0</v>
      </c>
      <c r="P25" s="220">
        <f t="shared" si="1"/>
        <v>0</v>
      </c>
      <c r="Q25" s="240">
        <v>0</v>
      </c>
      <c r="R25" s="220">
        <f t="shared" si="2"/>
        <v>0</v>
      </c>
      <c r="S25" s="26"/>
      <c r="AB25" s="219" t="s">
        <v>163</v>
      </c>
      <c r="AC25" s="240">
        <v>581875</v>
      </c>
      <c r="AD25" s="240">
        <v>0</v>
      </c>
      <c r="AE25" s="240">
        <v>0</v>
      </c>
      <c r="AF25" s="240">
        <v>1</v>
      </c>
      <c r="AG25" s="240">
        <v>0</v>
      </c>
      <c r="AH25" s="220">
        <f t="shared" si="19"/>
        <v>0</v>
      </c>
      <c r="AI25" s="220">
        <f t="shared" si="20"/>
        <v>0.34371643394199786</v>
      </c>
      <c r="AJ25" s="240">
        <v>0</v>
      </c>
      <c r="AK25" s="220">
        <f t="shared" si="21"/>
        <v>0</v>
      </c>
      <c r="AL25" s="26"/>
      <c r="BB25" s="219" t="s">
        <v>163</v>
      </c>
      <c r="BC25" s="194">
        <f t="shared" si="6"/>
        <v>1824006</v>
      </c>
      <c r="BD25" s="225">
        <v>0</v>
      </c>
      <c r="BE25" s="246">
        <f t="shared" si="11"/>
        <v>0</v>
      </c>
      <c r="BF25" s="246">
        <f t="shared" si="12"/>
        <v>1</v>
      </c>
      <c r="BG25" s="246">
        <f t="shared" si="13"/>
        <v>0</v>
      </c>
      <c r="BH25" s="210">
        <f t="shared" si="7"/>
        <v>0</v>
      </c>
      <c r="BI25" s="210">
        <f t="shared" si="8"/>
        <v>0.10964876212030004</v>
      </c>
      <c r="BJ25" s="246">
        <f t="shared" si="9"/>
        <v>0</v>
      </c>
      <c r="BK25" s="210">
        <f t="shared" si="10"/>
        <v>0</v>
      </c>
      <c r="BL25" s="55"/>
      <c r="BM25" s="276" t="s">
        <v>97</v>
      </c>
      <c r="BN25" s="277">
        <f t="shared" ref="BN25:BS25" si="23">BN26</f>
        <v>1</v>
      </c>
      <c r="BO25" s="277">
        <f t="shared" si="23"/>
        <v>1201</v>
      </c>
      <c r="BP25" s="277">
        <f t="shared" si="23"/>
        <v>1201</v>
      </c>
      <c r="BQ25" s="277">
        <f t="shared" si="23"/>
        <v>23</v>
      </c>
      <c r="BR25" s="277">
        <f t="shared" si="23"/>
        <v>40585</v>
      </c>
      <c r="BS25" s="277">
        <f t="shared" si="23"/>
        <v>24841</v>
      </c>
      <c r="BT25" s="26"/>
    </row>
    <row r="26" spans="1:72" ht="21.6" customHeight="1" x14ac:dyDescent="0.2">
      <c r="A26" s="7"/>
      <c r="B26" s="7"/>
      <c r="C26" s="7"/>
      <c r="D26" s="7"/>
      <c r="E26" s="7"/>
      <c r="F26" s="7"/>
      <c r="G26" s="7"/>
      <c r="H26" s="85"/>
      <c r="I26" s="219" t="s">
        <v>164</v>
      </c>
      <c r="J26" s="240">
        <v>791488.84</v>
      </c>
      <c r="K26" s="240">
        <v>0</v>
      </c>
      <c r="L26" s="240">
        <v>0</v>
      </c>
      <c r="M26" s="240">
        <v>1</v>
      </c>
      <c r="N26" s="240">
        <v>1</v>
      </c>
      <c r="O26" s="220">
        <f t="shared" si="0"/>
        <v>0.25268833859994794</v>
      </c>
      <c r="P26" s="220">
        <f t="shared" si="1"/>
        <v>0.50537667719989587</v>
      </c>
      <c r="Q26" s="240">
        <v>0</v>
      </c>
      <c r="R26" s="220">
        <f t="shared" si="2"/>
        <v>0</v>
      </c>
      <c r="S26" s="26"/>
      <c r="AB26" s="219" t="s">
        <v>164</v>
      </c>
      <c r="AC26" s="240">
        <v>630795.86</v>
      </c>
      <c r="AD26" s="240">
        <v>0</v>
      </c>
      <c r="AE26" s="240">
        <v>0</v>
      </c>
      <c r="AF26" s="240">
        <v>1</v>
      </c>
      <c r="AG26" s="240">
        <v>0</v>
      </c>
      <c r="AH26" s="220">
        <f t="shared" si="19"/>
        <v>0</v>
      </c>
      <c r="AI26" s="220">
        <f t="shared" si="20"/>
        <v>0.3170597853955478</v>
      </c>
      <c r="AJ26" s="240">
        <v>0</v>
      </c>
      <c r="AK26" s="220">
        <f t="shared" si="21"/>
        <v>0</v>
      </c>
      <c r="AL26" s="26"/>
      <c r="BB26" s="219" t="s">
        <v>164</v>
      </c>
      <c r="BC26" s="194">
        <f t="shared" si="6"/>
        <v>1422284.7</v>
      </c>
      <c r="BD26" s="225">
        <v>0</v>
      </c>
      <c r="BE26" s="246">
        <f t="shared" si="11"/>
        <v>0</v>
      </c>
      <c r="BF26" s="246">
        <f t="shared" si="12"/>
        <v>2</v>
      </c>
      <c r="BG26" s="246">
        <f t="shared" si="13"/>
        <v>1</v>
      </c>
      <c r="BH26" s="210">
        <f t="shared" si="7"/>
        <v>0.14061882265906397</v>
      </c>
      <c r="BI26" s="210">
        <f t="shared" si="8"/>
        <v>0.4218564679771919</v>
      </c>
      <c r="BJ26" s="246">
        <f t="shared" si="9"/>
        <v>0</v>
      </c>
      <c r="BK26" s="210">
        <f t="shared" si="10"/>
        <v>0</v>
      </c>
      <c r="BL26" s="55"/>
      <c r="BM26" s="219" t="s">
        <v>20</v>
      </c>
      <c r="BN26" s="225">
        <v>1</v>
      </c>
      <c r="BO26" s="225">
        <v>1201</v>
      </c>
      <c r="BP26" s="225">
        <v>1201</v>
      </c>
      <c r="BQ26" s="225">
        <v>23</v>
      </c>
      <c r="BR26" s="240">
        <v>40585</v>
      </c>
      <c r="BS26" s="289">
        <v>24841</v>
      </c>
      <c r="BT26" s="26"/>
    </row>
    <row r="27" spans="1:72" ht="30.75" customHeight="1" x14ac:dyDescent="0.2">
      <c r="A27" s="7"/>
      <c r="B27" s="7"/>
      <c r="C27" s="7"/>
      <c r="D27" s="7"/>
      <c r="E27" s="7"/>
      <c r="F27" s="7"/>
      <c r="G27" s="7"/>
      <c r="H27" s="85"/>
      <c r="I27" s="219" t="s">
        <v>29</v>
      </c>
      <c r="J27" s="240">
        <v>1274415</v>
      </c>
      <c r="K27" s="240">
        <v>0</v>
      </c>
      <c r="L27" s="240">
        <v>0</v>
      </c>
      <c r="M27" s="240">
        <v>3</v>
      </c>
      <c r="N27" s="240">
        <v>1</v>
      </c>
      <c r="O27" s="220">
        <f t="shared" si="0"/>
        <v>0.15693475045412994</v>
      </c>
      <c r="P27" s="220">
        <f t="shared" si="1"/>
        <v>0.62773900181651976</v>
      </c>
      <c r="Q27" s="240">
        <v>0</v>
      </c>
      <c r="R27" s="220">
        <f t="shared" si="2"/>
        <v>0</v>
      </c>
      <c r="S27" s="26"/>
      <c r="AB27" s="219" t="s">
        <v>29</v>
      </c>
      <c r="AC27" s="240">
        <v>978681</v>
      </c>
      <c r="AD27" s="240">
        <v>0</v>
      </c>
      <c r="AE27" s="240">
        <v>0</v>
      </c>
      <c r="AF27" s="240">
        <v>1</v>
      </c>
      <c r="AG27" s="240">
        <v>1</v>
      </c>
      <c r="AH27" s="220">
        <f t="shared" si="19"/>
        <v>0.20435668006224705</v>
      </c>
      <c r="AI27" s="220">
        <f t="shared" si="20"/>
        <v>0.40871336012449411</v>
      </c>
      <c r="AJ27" s="240">
        <v>0</v>
      </c>
      <c r="AK27" s="220">
        <f t="shared" si="21"/>
        <v>0</v>
      </c>
      <c r="AL27" s="26"/>
      <c r="BB27" s="219" t="s">
        <v>29</v>
      </c>
      <c r="BC27" s="194">
        <f t="shared" si="6"/>
        <v>2253096</v>
      </c>
      <c r="BD27" s="225">
        <v>0</v>
      </c>
      <c r="BE27" s="246">
        <f t="shared" si="11"/>
        <v>0</v>
      </c>
      <c r="BF27" s="246">
        <f t="shared" si="12"/>
        <v>4</v>
      </c>
      <c r="BG27" s="246">
        <f t="shared" si="13"/>
        <v>2</v>
      </c>
      <c r="BH27" s="210">
        <f t="shared" si="7"/>
        <v>0.17753349169320792</v>
      </c>
      <c r="BI27" s="210">
        <f t="shared" si="8"/>
        <v>0.53260047507962383</v>
      </c>
      <c r="BJ27" s="246">
        <f t="shared" si="9"/>
        <v>0</v>
      </c>
      <c r="BK27" s="210">
        <f t="shared" si="10"/>
        <v>0</v>
      </c>
      <c r="BL27" s="55"/>
      <c r="BM27" s="276" t="s">
        <v>82</v>
      </c>
      <c r="BN27" s="277">
        <f t="shared" ref="BN27:BS27" si="24">SUM(BN28:BN30)</f>
        <v>3733</v>
      </c>
      <c r="BO27" s="277">
        <f t="shared" si="24"/>
        <v>10803.5</v>
      </c>
      <c r="BP27" s="277">
        <f t="shared" si="24"/>
        <v>6922</v>
      </c>
      <c r="BQ27" s="277">
        <f t="shared" si="24"/>
        <v>2241</v>
      </c>
      <c r="BR27" s="277">
        <f t="shared" si="24"/>
        <v>13807</v>
      </c>
      <c r="BS27" s="277">
        <f t="shared" si="24"/>
        <v>6082</v>
      </c>
      <c r="BT27" s="26"/>
    </row>
    <row r="28" spans="1:72" ht="21.6" customHeight="1" x14ac:dyDescent="0.2">
      <c r="A28" s="7"/>
      <c r="B28" s="7"/>
      <c r="C28" s="7"/>
      <c r="D28" s="7"/>
      <c r="E28" s="7"/>
      <c r="F28" s="7"/>
      <c r="G28" s="7"/>
      <c r="H28" s="85"/>
      <c r="I28" s="219" t="s">
        <v>634</v>
      </c>
      <c r="J28" s="240">
        <v>698</v>
      </c>
      <c r="K28" s="240">
        <v>0</v>
      </c>
      <c r="L28" s="240">
        <v>0</v>
      </c>
      <c r="M28" s="240">
        <v>0</v>
      </c>
      <c r="N28" s="240">
        <v>1</v>
      </c>
      <c r="O28" s="220">
        <f t="shared" si="0"/>
        <v>286.53295128939828</v>
      </c>
      <c r="P28" s="220">
        <f t="shared" si="1"/>
        <v>286.53295128939828</v>
      </c>
      <c r="Q28" s="240">
        <v>0</v>
      </c>
      <c r="R28" s="220">
        <f t="shared" si="2"/>
        <v>0</v>
      </c>
      <c r="S28" s="26"/>
      <c r="AB28" s="219" t="s">
        <v>634</v>
      </c>
      <c r="AC28" s="240">
        <v>70</v>
      </c>
      <c r="AD28" s="240">
        <v>0</v>
      </c>
      <c r="AE28" s="240">
        <v>0</v>
      </c>
      <c r="AF28" s="240">
        <v>0</v>
      </c>
      <c r="AG28" s="240">
        <v>0</v>
      </c>
      <c r="AH28" s="220">
        <f t="shared" si="19"/>
        <v>0</v>
      </c>
      <c r="AI28" s="220">
        <f t="shared" si="20"/>
        <v>0</v>
      </c>
      <c r="AJ28" s="240">
        <v>0</v>
      </c>
      <c r="AK28" s="220">
        <f t="shared" si="21"/>
        <v>0</v>
      </c>
      <c r="AL28" s="26"/>
      <c r="BB28" s="219" t="s">
        <v>634</v>
      </c>
      <c r="BC28" s="194">
        <f t="shared" si="6"/>
        <v>768</v>
      </c>
      <c r="BD28" s="225">
        <v>0</v>
      </c>
      <c r="BE28" s="246">
        <f t="shared" si="11"/>
        <v>0</v>
      </c>
      <c r="BF28" s="246">
        <f t="shared" si="12"/>
        <v>0</v>
      </c>
      <c r="BG28" s="246">
        <f t="shared" si="13"/>
        <v>1</v>
      </c>
      <c r="BH28" s="210">
        <f t="shared" si="7"/>
        <v>260.41666666666669</v>
      </c>
      <c r="BI28" s="210">
        <f t="shared" si="8"/>
        <v>260.41666666666669</v>
      </c>
      <c r="BJ28" s="246">
        <f t="shared" si="9"/>
        <v>0</v>
      </c>
      <c r="BK28" s="210">
        <f t="shared" si="10"/>
        <v>0</v>
      </c>
      <c r="BL28" s="55"/>
      <c r="BM28" s="219" t="s">
        <v>164</v>
      </c>
      <c r="BN28" s="225">
        <v>561</v>
      </c>
      <c r="BO28" s="225">
        <v>2404</v>
      </c>
      <c r="BP28" s="225">
        <v>1016</v>
      </c>
      <c r="BQ28" s="225">
        <v>191</v>
      </c>
      <c r="BR28" s="225">
        <v>692</v>
      </c>
      <c r="BS28" s="225">
        <v>1743</v>
      </c>
      <c r="BT28" s="26"/>
    </row>
    <row r="29" spans="1:72" ht="21.6" customHeight="1" x14ac:dyDescent="0.2">
      <c r="I29" s="276" t="s">
        <v>103</v>
      </c>
      <c r="J29" s="277">
        <f>J30</f>
        <v>79127</v>
      </c>
      <c r="K29" s="277">
        <v>0</v>
      </c>
      <c r="L29" s="277">
        <f t="shared" ref="L29:R29" si="25">L30</f>
        <v>0</v>
      </c>
      <c r="M29" s="277">
        <f t="shared" si="25"/>
        <v>0</v>
      </c>
      <c r="N29" s="277">
        <f t="shared" si="25"/>
        <v>0</v>
      </c>
      <c r="O29" s="278">
        <f t="shared" si="25"/>
        <v>0</v>
      </c>
      <c r="P29" s="278">
        <f t="shared" si="25"/>
        <v>0</v>
      </c>
      <c r="Q29" s="277">
        <f t="shared" si="25"/>
        <v>0</v>
      </c>
      <c r="R29" s="278">
        <f t="shared" si="25"/>
        <v>0</v>
      </c>
      <c r="S29" s="26"/>
      <c r="AB29" s="276" t="s">
        <v>103</v>
      </c>
      <c r="AC29" s="277">
        <f>AC30</f>
        <v>694654</v>
      </c>
      <c r="AD29" s="277">
        <v>0</v>
      </c>
      <c r="AE29" s="277">
        <f t="shared" ref="AE29:AK29" si="26">AE30</f>
        <v>1</v>
      </c>
      <c r="AF29" s="277">
        <f t="shared" si="26"/>
        <v>0</v>
      </c>
      <c r="AG29" s="277">
        <f t="shared" si="26"/>
        <v>0</v>
      </c>
      <c r="AH29" s="278">
        <f t="shared" si="26"/>
        <v>0.28791311933710884</v>
      </c>
      <c r="AI29" s="278">
        <f t="shared" si="26"/>
        <v>0.28791311933710884</v>
      </c>
      <c r="AJ29" s="277">
        <f t="shared" si="26"/>
        <v>0</v>
      </c>
      <c r="AK29" s="278">
        <f t="shared" si="26"/>
        <v>0</v>
      </c>
      <c r="AL29" s="26"/>
      <c r="BB29" s="276" t="s">
        <v>103</v>
      </c>
      <c r="BC29" s="192">
        <f t="shared" si="6"/>
        <v>773781</v>
      </c>
      <c r="BD29" s="283">
        <v>0</v>
      </c>
      <c r="BE29" s="287">
        <f t="shared" si="11"/>
        <v>1</v>
      </c>
      <c r="BF29" s="287">
        <f t="shared" si="12"/>
        <v>0</v>
      </c>
      <c r="BG29" s="287">
        <f t="shared" si="13"/>
        <v>0</v>
      </c>
      <c r="BH29" s="284">
        <f t="shared" si="7"/>
        <v>0.25847106610268278</v>
      </c>
      <c r="BI29" s="284">
        <f t="shared" si="8"/>
        <v>0.25847106610268278</v>
      </c>
      <c r="BJ29" s="287">
        <f t="shared" si="9"/>
        <v>0</v>
      </c>
      <c r="BK29" s="284">
        <f t="shared" si="10"/>
        <v>0</v>
      </c>
      <c r="BL29" s="55"/>
      <c r="BM29" s="219" t="s">
        <v>420</v>
      </c>
      <c r="BN29" s="225">
        <v>2337</v>
      </c>
      <c r="BO29" s="290">
        <v>3292.5</v>
      </c>
      <c r="BP29" s="225">
        <v>2509</v>
      </c>
      <c r="BQ29" s="225">
        <v>809</v>
      </c>
      <c r="BR29" s="225">
        <v>2738</v>
      </c>
      <c r="BS29" s="225">
        <v>809</v>
      </c>
      <c r="BT29" s="26"/>
    </row>
    <row r="30" spans="1:72" ht="21.6" customHeight="1" x14ac:dyDescent="0.2">
      <c r="A30" s="7"/>
      <c r="B30" s="7"/>
      <c r="C30" s="7"/>
      <c r="D30" s="7"/>
      <c r="E30" s="7"/>
      <c r="F30" s="7"/>
      <c r="G30" s="7"/>
      <c r="H30" s="85"/>
      <c r="I30" s="219" t="s">
        <v>627</v>
      </c>
      <c r="J30" s="240">
        <v>79127</v>
      </c>
      <c r="K30" s="240">
        <v>0</v>
      </c>
      <c r="L30" s="240">
        <v>0</v>
      </c>
      <c r="M30" s="240">
        <v>0</v>
      </c>
      <c r="N30" s="240">
        <v>0</v>
      </c>
      <c r="O30" s="220">
        <f>(N30+L30)*200000/J30</f>
        <v>0</v>
      </c>
      <c r="P30" s="220">
        <f>SUM(L30:N30)*200000/J30</f>
        <v>0</v>
      </c>
      <c r="Q30" s="240">
        <v>0</v>
      </c>
      <c r="R30" s="220">
        <f>Q30*200000/J30</f>
        <v>0</v>
      </c>
      <c r="S30" s="26"/>
      <c r="AB30" s="219" t="s">
        <v>627</v>
      </c>
      <c r="AC30" s="240">
        <v>694654</v>
      </c>
      <c r="AD30" s="240">
        <v>0</v>
      </c>
      <c r="AE30" s="240">
        <v>1</v>
      </c>
      <c r="AF30" s="240">
        <v>0</v>
      </c>
      <c r="AG30" s="240">
        <v>0</v>
      </c>
      <c r="AH30" s="220">
        <f>(AG30+AE30)*200000/AC30</f>
        <v>0.28791311933710884</v>
      </c>
      <c r="AI30" s="220">
        <f>SUM(AE30:AG30)*200000/AC30</f>
        <v>0.28791311933710884</v>
      </c>
      <c r="AJ30" s="240">
        <v>0</v>
      </c>
      <c r="AK30" s="220">
        <f>AJ30*200000/AC30</f>
        <v>0</v>
      </c>
      <c r="AL30" s="26"/>
      <c r="BB30" s="219" t="s">
        <v>627</v>
      </c>
      <c r="BC30" s="194">
        <f t="shared" si="6"/>
        <v>773781</v>
      </c>
      <c r="BD30" s="225">
        <v>0</v>
      </c>
      <c r="BE30" s="246">
        <f t="shared" si="11"/>
        <v>1</v>
      </c>
      <c r="BF30" s="246">
        <f t="shared" si="12"/>
        <v>0</v>
      </c>
      <c r="BG30" s="246">
        <f t="shared" si="13"/>
        <v>0</v>
      </c>
      <c r="BH30" s="210">
        <f t="shared" si="7"/>
        <v>0.25847106610268278</v>
      </c>
      <c r="BI30" s="210">
        <f t="shared" si="8"/>
        <v>0.25847106610268278</v>
      </c>
      <c r="BJ30" s="246">
        <f t="shared" si="9"/>
        <v>0</v>
      </c>
      <c r="BK30" s="210">
        <f t="shared" si="10"/>
        <v>0</v>
      </c>
      <c r="BL30" s="55"/>
      <c r="BM30" s="219" t="s">
        <v>29</v>
      </c>
      <c r="BN30" s="225">
        <v>835</v>
      </c>
      <c r="BO30" s="225">
        <v>5107</v>
      </c>
      <c r="BP30" s="225">
        <v>3397</v>
      </c>
      <c r="BQ30" s="225">
        <v>1241</v>
      </c>
      <c r="BR30" s="225">
        <v>10377</v>
      </c>
      <c r="BS30" s="225">
        <v>3530</v>
      </c>
      <c r="BT30" s="26"/>
    </row>
    <row r="31" spans="1:72" ht="21.6" customHeight="1" x14ac:dyDescent="0.2">
      <c r="A31" s="7"/>
      <c r="B31" s="7"/>
      <c r="C31" s="7"/>
      <c r="D31" s="7"/>
      <c r="E31" s="7"/>
      <c r="F31" s="7"/>
      <c r="G31" s="7"/>
      <c r="H31" s="85"/>
      <c r="I31" s="276" t="s">
        <v>86</v>
      </c>
      <c r="J31" s="277">
        <f>SUM(J32:J33)</f>
        <v>4862678</v>
      </c>
      <c r="K31" s="277">
        <v>0</v>
      </c>
      <c r="L31" s="277">
        <f>SUM(L32:L33)</f>
        <v>0</v>
      </c>
      <c r="M31" s="277">
        <f>SUM(M32:M33)</f>
        <v>2</v>
      </c>
      <c r="N31" s="277">
        <f>SUM(N32:N33)</f>
        <v>7</v>
      </c>
      <c r="O31" s="278">
        <f>(N31+L31)*200000/J31</f>
        <v>0.28790719846142393</v>
      </c>
      <c r="P31" s="278">
        <f>SUM(L31:N31)*200000/J31</f>
        <v>0.37016639802183077</v>
      </c>
      <c r="Q31" s="277">
        <f>SUM(Q32:Q33)</f>
        <v>0</v>
      </c>
      <c r="R31" s="278">
        <f>Q31*200000/J31</f>
        <v>0</v>
      </c>
      <c r="S31" s="26"/>
      <c r="AB31" s="276" t="s">
        <v>86</v>
      </c>
      <c r="AC31" s="277">
        <f>SUM(AC32:AC33)</f>
        <v>6348742</v>
      </c>
      <c r="AD31" s="277">
        <v>0</v>
      </c>
      <c r="AE31" s="277">
        <f>SUM(AE32:AE33)</f>
        <v>1</v>
      </c>
      <c r="AF31" s="277">
        <f>SUM(AF32:AF33)</f>
        <v>6</v>
      </c>
      <c r="AG31" s="277">
        <f>SUM(AG32:AG33)</f>
        <v>2</v>
      </c>
      <c r="AH31" s="278">
        <f>(AG31+AE31)*200000/AC31</f>
        <v>9.450691176299178E-2</v>
      </c>
      <c r="AI31" s="278">
        <f>SUM(AE31:AG31)*200000/AC31</f>
        <v>0.28352073528897537</v>
      </c>
      <c r="AJ31" s="277">
        <f>SUM(AJ32:AJ33)</f>
        <v>0</v>
      </c>
      <c r="AK31" s="278">
        <f>AJ31*200000/AC31</f>
        <v>0</v>
      </c>
      <c r="AL31" s="26"/>
      <c r="BB31" s="276" t="s">
        <v>86</v>
      </c>
      <c r="BC31" s="192">
        <f t="shared" si="6"/>
        <v>11211420</v>
      </c>
      <c r="BD31" s="283">
        <v>0</v>
      </c>
      <c r="BE31" s="287">
        <f t="shared" si="11"/>
        <v>1</v>
      </c>
      <c r="BF31" s="287">
        <f t="shared" si="12"/>
        <v>8</v>
      </c>
      <c r="BG31" s="287">
        <f t="shared" si="13"/>
        <v>9</v>
      </c>
      <c r="BH31" s="284">
        <f t="shared" si="7"/>
        <v>0.17838953495632132</v>
      </c>
      <c r="BI31" s="284">
        <f t="shared" si="8"/>
        <v>0.32110116292137836</v>
      </c>
      <c r="BJ31" s="287">
        <f t="shared" si="9"/>
        <v>0</v>
      </c>
      <c r="BK31" s="284">
        <f t="shared" si="10"/>
        <v>0</v>
      </c>
      <c r="BL31" s="55"/>
      <c r="BM31" s="276" t="s">
        <v>90</v>
      </c>
      <c r="BN31" s="277">
        <f t="shared" ref="BN31:BS31" si="27">BN27+BN25+BN23+BN19+BN14+BN10+BN6</f>
        <v>4439</v>
      </c>
      <c r="BO31" s="277">
        <f t="shared" si="27"/>
        <v>65217.94</v>
      </c>
      <c r="BP31" s="277">
        <f t="shared" si="27"/>
        <v>30688</v>
      </c>
      <c r="BQ31" s="277">
        <f t="shared" si="27"/>
        <v>3689</v>
      </c>
      <c r="BR31" s="277">
        <f t="shared" si="27"/>
        <v>170383.16</v>
      </c>
      <c r="BS31" s="277">
        <f t="shared" si="27"/>
        <v>70007</v>
      </c>
      <c r="BT31" s="26"/>
    </row>
    <row r="32" spans="1:72" ht="21.6" customHeight="1" x14ac:dyDescent="0.2">
      <c r="A32" s="7"/>
      <c r="B32" s="7"/>
      <c r="C32" s="7"/>
      <c r="D32" s="7"/>
      <c r="E32" s="7"/>
      <c r="F32" s="7"/>
      <c r="G32" s="7"/>
      <c r="H32" s="85"/>
      <c r="I32" s="219" t="s">
        <v>25</v>
      </c>
      <c r="J32" s="240">
        <v>4862678</v>
      </c>
      <c r="K32" s="240">
        <v>0</v>
      </c>
      <c r="L32" s="240">
        <v>0</v>
      </c>
      <c r="M32" s="240">
        <v>2</v>
      </c>
      <c r="N32" s="240">
        <v>7</v>
      </c>
      <c r="O32" s="220">
        <f>(N32+L32)*200000/J32</f>
        <v>0.28790719846142393</v>
      </c>
      <c r="P32" s="220">
        <f>SUM(L32:N32)*200000/J32</f>
        <v>0.37016639802183077</v>
      </c>
      <c r="Q32" s="240">
        <v>0</v>
      </c>
      <c r="R32" s="220">
        <f>Q32*200000/J32</f>
        <v>0</v>
      </c>
      <c r="S32" s="26"/>
      <c r="AB32" s="219" t="s">
        <v>25</v>
      </c>
      <c r="AC32" s="240">
        <v>6348742</v>
      </c>
      <c r="AD32" s="240">
        <v>0</v>
      </c>
      <c r="AE32" s="240">
        <v>1</v>
      </c>
      <c r="AF32" s="240">
        <v>6</v>
      </c>
      <c r="AG32" s="240">
        <v>2</v>
      </c>
      <c r="AH32" s="220">
        <f>(AG32+AE32)*200000/AC32</f>
        <v>9.450691176299178E-2</v>
      </c>
      <c r="AI32" s="220">
        <f>SUM(AE32:AG32)*200000/AC32</f>
        <v>0.28352073528897537</v>
      </c>
      <c r="AJ32" s="240">
        <v>0</v>
      </c>
      <c r="AK32" s="220">
        <f>AJ32*200000/AC32</f>
        <v>0</v>
      </c>
      <c r="AL32" s="26"/>
      <c r="BB32" s="219" t="s">
        <v>25</v>
      </c>
      <c r="BC32" s="194">
        <f t="shared" si="6"/>
        <v>11211420</v>
      </c>
      <c r="BD32" s="225">
        <v>0</v>
      </c>
      <c r="BE32" s="246">
        <f t="shared" si="11"/>
        <v>1</v>
      </c>
      <c r="BF32" s="246">
        <f t="shared" si="12"/>
        <v>8</v>
      </c>
      <c r="BG32" s="246">
        <f t="shared" si="13"/>
        <v>9</v>
      </c>
      <c r="BH32" s="210">
        <f t="shared" si="7"/>
        <v>0.17838953495632132</v>
      </c>
      <c r="BI32" s="210">
        <f t="shared" si="8"/>
        <v>0.32110116292137836</v>
      </c>
      <c r="BJ32" s="246">
        <f t="shared" si="9"/>
        <v>0</v>
      </c>
      <c r="BK32" s="210">
        <f t="shared" si="10"/>
        <v>0</v>
      </c>
      <c r="BL32" s="26"/>
      <c r="BM32" s="563" t="s">
        <v>635</v>
      </c>
      <c r="BN32" s="563"/>
      <c r="BO32" s="563"/>
      <c r="BP32" s="563"/>
      <c r="BQ32" s="563"/>
      <c r="BR32" s="563"/>
      <c r="BS32" s="563"/>
    </row>
    <row r="33" spans="1:72" ht="21.6" customHeight="1" x14ac:dyDescent="0.2">
      <c r="A33" s="7"/>
      <c r="B33" s="7"/>
      <c r="C33" s="7"/>
      <c r="D33" s="7"/>
      <c r="E33" s="7"/>
      <c r="F33" s="7"/>
      <c r="G33" s="7"/>
      <c r="H33" s="85"/>
      <c r="I33" s="219" t="s">
        <v>627</v>
      </c>
      <c r="J33" s="240">
        <v>0</v>
      </c>
      <c r="K33" s="240">
        <v>0</v>
      </c>
      <c r="L33" s="240">
        <v>0</v>
      </c>
      <c r="M33" s="240">
        <v>0</v>
      </c>
      <c r="N33" s="240">
        <v>0</v>
      </c>
      <c r="O33" s="220">
        <v>0</v>
      </c>
      <c r="P33" s="220">
        <v>0</v>
      </c>
      <c r="Q33" s="240">
        <v>0</v>
      </c>
      <c r="R33" s="220">
        <v>0</v>
      </c>
      <c r="S33" s="26"/>
      <c r="AB33" s="219" t="s">
        <v>627</v>
      </c>
      <c r="AC33" s="240">
        <v>0</v>
      </c>
      <c r="AD33" s="240">
        <v>0</v>
      </c>
      <c r="AE33" s="240">
        <v>0</v>
      </c>
      <c r="AF33" s="240">
        <v>0</v>
      </c>
      <c r="AG33" s="240">
        <v>0</v>
      </c>
      <c r="AH33" s="220">
        <v>0</v>
      </c>
      <c r="AI33" s="220">
        <v>0</v>
      </c>
      <c r="AJ33" s="240">
        <v>0</v>
      </c>
      <c r="AK33" s="220">
        <v>0</v>
      </c>
      <c r="AL33" s="26"/>
      <c r="BB33" s="219" t="s">
        <v>627</v>
      </c>
      <c r="BC33" s="194">
        <f t="shared" si="6"/>
        <v>0</v>
      </c>
      <c r="BD33" s="225">
        <v>0</v>
      </c>
      <c r="BE33" s="246">
        <f t="shared" si="11"/>
        <v>0</v>
      </c>
      <c r="BF33" s="246">
        <f t="shared" si="12"/>
        <v>0</v>
      </c>
      <c r="BG33" s="246">
        <f t="shared" si="13"/>
        <v>0</v>
      </c>
      <c r="BH33" s="210">
        <v>0</v>
      </c>
      <c r="BI33" s="210">
        <v>0</v>
      </c>
      <c r="BJ33" s="246">
        <f t="shared" si="9"/>
        <v>0</v>
      </c>
      <c r="BK33" s="210">
        <v>0</v>
      </c>
      <c r="BL33" s="26"/>
      <c r="BM33" s="564"/>
      <c r="BN33" s="564"/>
      <c r="BO33" s="564"/>
      <c r="BP33" s="564"/>
      <c r="BQ33" s="564"/>
      <c r="BR33" s="564"/>
      <c r="BS33" s="564"/>
    </row>
    <row r="34" spans="1:72" ht="21.6" customHeight="1" x14ac:dyDescent="0.2">
      <c r="A34" s="7"/>
      <c r="B34" s="7"/>
      <c r="C34" s="7"/>
      <c r="D34" s="7"/>
      <c r="E34" s="7"/>
      <c r="F34" s="7"/>
      <c r="G34" s="7"/>
      <c r="H34" s="85"/>
      <c r="I34" s="276" t="s">
        <v>89</v>
      </c>
      <c r="J34" s="277">
        <f>J35</f>
        <v>3008601</v>
      </c>
      <c r="K34" s="277">
        <v>0</v>
      </c>
      <c r="L34" s="277">
        <f t="shared" ref="L34:R34" si="28">L35</f>
        <v>0</v>
      </c>
      <c r="M34" s="277">
        <f t="shared" si="28"/>
        <v>1</v>
      </c>
      <c r="N34" s="277">
        <f t="shared" si="28"/>
        <v>1</v>
      </c>
      <c r="O34" s="278">
        <f t="shared" si="28"/>
        <v>6.6476079746034783E-2</v>
      </c>
      <c r="P34" s="278">
        <f t="shared" si="28"/>
        <v>0.13295215949206957</v>
      </c>
      <c r="Q34" s="277">
        <f t="shared" si="28"/>
        <v>0</v>
      </c>
      <c r="R34" s="278">
        <f t="shared" si="28"/>
        <v>0</v>
      </c>
      <c r="S34" s="26"/>
      <c r="AB34" s="276" t="s">
        <v>89</v>
      </c>
      <c r="AC34" s="277">
        <f>AC35</f>
        <v>1455154</v>
      </c>
      <c r="AD34" s="277">
        <v>0</v>
      </c>
      <c r="AE34" s="277">
        <f t="shared" ref="AE34:AK34" si="29">AE35</f>
        <v>0</v>
      </c>
      <c r="AF34" s="277">
        <f t="shared" si="29"/>
        <v>0</v>
      </c>
      <c r="AG34" s="277">
        <f t="shared" si="29"/>
        <v>2</v>
      </c>
      <c r="AH34" s="278">
        <f t="shared" si="29"/>
        <v>0.27488499499022095</v>
      </c>
      <c r="AI34" s="278">
        <f t="shared" si="29"/>
        <v>0.27488499499022095</v>
      </c>
      <c r="AJ34" s="277">
        <f t="shared" si="29"/>
        <v>0</v>
      </c>
      <c r="AK34" s="278">
        <f t="shared" si="29"/>
        <v>0</v>
      </c>
      <c r="AL34" s="26"/>
      <c r="BB34" s="276" t="s">
        <v>89</v>
      </c>
      <c r="BC34" s="192">
        <f t="shared" si="6"/>
        <v>4463755</v>
      </c>
      <c r="BD34" s="283">
        <v>0</v>
      </c>
      <c r="BE34" s="287">
        <f t="shared" si="11"/>
        <v>0</v>
      </c>
      <c r="BF34" s="287">
        <f t="shared" si="12"/>
        <v>1</v>
      </c>
      <c r="BG34" s="287">
        <f t="shared" si="13"/>
        <v>3</v>
      </c>
      <c r="BH34" s="284">
        <f t="shared" ref="BH34:BH45" si="30">(BG34+BE34)*200000/BC34</f>
        <v>0.13441597937162769</v>
      </c>
      <c r="BI34" s="284">
        <f t="shared" ref="BI34:BI45" si="31">SUM(BE34:BG34)*200000/BC34</f>
        <v>0.17922130582883694</v>
      </c>
      <c r="BJ34" s="287">
        <f t="shared" si="9"/>
        <v>0</v>
      </c>
      <c r="BK34" s="284">
        <f t="shared" ref="BK34:BK45" si="32">BJ34*200000/BC34</f>
        <v>0</v>
      </c>
      <c r="BL34" s="26"/>
      <c r="BM34" s="564"/>
      <c r="BN34" s="564"/>
      <c r="BO34" s="564"/>
      <c r="BP34" s="564"/>
      <c r="BQ34" s="564"/>
      <c r="BR34" s="564"/>
      <c r="BS34" s="564"/>
    </row>
    <row r="35" spans="1:72" ht="21.6" customHeight="1" x14ac:dyDescent="0.2">
      <c r="A35" s="7"/>
      <c r="B35" s="7"/>
      <c r="C35" s="7"/>
      <c r="D35" s="7"/>
      <c r="E35" s="7"/>
      <c r="F35" s="7"/>
      <c r="G35" s="7"/>
      <c r="H35" s="85"/>
      <c r="I35" s="219" t="s">
        <v>11</v>
      </c>
      <c r="J35" s="240">
        <v>3008601</v>
      </c>
      <c r="K35" s="240">
        <v>0</v>
      </c>
      <c r="L35" s="240">
        <v>0</v>
      </c>
      <c r="M35" s="240">
        <v>1</v>
      </c>
      <c r="N35" s="240">
        <v>1</v>
      </c>
      <c r="O35" s="220">
        <f>(N35+L35)*200000/J35</f>
        <v>6.6476079746034783E-2</v>
      </c>
      <c r="P35" s="220">
        <f>SUM(L35:N35)*200000/J35</f>
        <v>0.13295215949206957</v>
      </c>
      <c r="Q35" s="240">
        <v>0</v>
      </c>
      <c r="R35" s="220">
        <f>Q35*200000/J35</f>
        <v>0</v>
      </c>
      <c r="S35" s="26"/>
      <c r="AB35" s="219" t="s">
        <v>11</v>
      </c>
      <c r="AC35" s="240">
        <v>1455154</v>
      </c>
      <c r="AD35" s="240">
        <v>0</v>
      </c>
      <c r="AE35" s="240">
        <v>0</v>
      </c>
      <c r="AF35" s="240">
        <v>0</v>
      </c>
      <c r="AG35" s="240">
        <v>2</v>
      </c>
      <c r="AH35" s="220">
        <f>(AG35+AE35)*200000/AC35</f>
        <v>0.27488499499022095</v>
      </c>
      <c r="AI35" s="220">
        <f>SUM(AE35:AG35)*200000/AC35</f>
        <v>0.27488499499022095</v>
      </c>
      <c r="AJ35" s="240">
        <v>0</v>
      </c>
      <c r="AK35" s="220">
        <f>AJ35*200000/AC35</f>
        <v>0</v>
      </c>
      <c r="AL35" s="26"/>
      <c r="BB35" s="219" t="s">
        <v>11</v>
      </c>
      <c r="BC35" s="194">
        <f t="shared" si="6"/>
        <v>4463755</v>
      </c>
      <c r="BD35" s="225">
        <v>0</v>
      </c>
      <c r="BE35" s="246">
        <f t="shared" si="11"/>
        <v>0</v>
      </c>
      <c r="BF35" s="246">
        <f t="shared" si="12"/>
        <v>1</v>
      </c>
      <c r="BG35" s="246">
        <f t="shared" si="13"/>
        <v>3</v>
      </c>
      <c r="BH35" s="210">
        <f t="shared" si="30"/>
        <v>0.13441597937162769</v>
      </c>
      <c r="BI35" s="210">
        <f t="shared" si="31"/>
        <v>0.17922130582883694</v>
      </c>
      <c r="BJ35" s="246">
        <f t="shared" si="9"/>
        <v>0</v>
      </c>
      <c r="BK35" s="210">
        <f t="shared" si="32"/>
        <v>0</v>
      </c>
      <c r="BL35" s="26"/>
      <c r="BM35" s="564"/>
      <c r="BN35" s="564"/>
      <c r="BO35" s="564"/>
      <c r="BP35" s="564"/>
      <c r="BQ35" s="564"/>
      <c r="BR35" s="564"/>
      <c r="BS35" s="564"/>
    </row>
    <row r="36" spans="1:72" ht="21.6" customHeight="1" x14ac:dyDescent="0.2">
      <c r="A36" s="7"/>
      <c r="B36" s="7"/>
      <c r="C36" s="7"/>
      <c r="D36" s="7"/>
      <c r="E36" s="7"/>
      <c r="F36" s="7"/>
      <c r="G36" s="7"/>
      <c r="H36" s="85"/>
      <c r="I36" s="276" t="s">
        <v>94</v>
      </c>
      <c r="J36" s="277">
        <f>J37</f>
        <v>2844918</v>
      </c>
      <c r="K36" s="277">
        <v>0</v>
      </c>
      <c r="L36" s="277">
        <f t="shared" ref="L36:R36" si="33">L37</f>
        <v>1</v>
      </c>
      <c r="M36" s="277">
        <f t="shared" si="33"/>
        <v>0</v>
      </c>
      <c r="N36" s="277">
        <f t="shared" si="33"/>
        <v>0</v>
      </c>
      <c r="O36" s="278">
        <f t="shared" si="33"/>
        <v>7.0300796015913283E-2</v>
      </c>
      <c r="P36" s="278">
        <f t="shared" si="33"/>
        <v>7.0300796015913283E-2</v>
      </c>
      <c r="Q36" s="277">
        <f t="shared" si="33"/>
        <v>0</v>
      </c>
      <c r="R36" s="278">
        <f t="shared" si="33"/>
        <v>0</v>
      </c>
      <c r="S36" s="26"/>
      <c r="AB36" s="276" t="s">
        <v>94</v>
      </c>
      <c r="AC36" s="277">
        <f>AC37</f>
        <v>1456583</v>
      </c>
      <c r="AD36" s="277">
        <v>0</v>
      </c>
      <c r="AE36" s="277">
        <f t="shared" ref="AE36:AK36" si="34">AE37</f>
        <v>0</v>
      </c>
      <c r="AF36" s="277">
        <f t="shared" si="34"/>
        <v>0</v>
      </c>
      <c r="AG36" s="277">
        <f t="shared" si="34"/>
        <v>0</v>
      </c>
      <c r="AH36" s="278">
        <f t="shared" si="34"/>
        <v>0</v>
      </c>
      <c r="AI36" s="278">
        <f t="shared" si="34"/>
        <v>0</v>
      </c>
      <c r="AJ36" s="277">
        <f t="shared" si="34"/>
        <v>0</v>
      </c>
      <c r="AK36" s="278">
        <f t="shared" si="34"/>
        <v>0</v>
      </c>
      <c r="AL36" s="26"/>
      <c r="BB36" s="276" t="s">
        <v>94</v>
      </c>
      <c r="BC36" s="192">
        <f t="shared" si="6"/>
        <v>4301501</v>
      </c>
      <c r="BD36" s="283">
        <v>0</v>
      </c>
      <c r="BE36" s="287">
        <f t="shared" si="11"/>
        <v>1</v>
      </c>
      <c r="BF36" s="287">
        <f t="shared" si="12"/>
        <v>0</v>
      </c>
      <c r="BG36" s="287">
        <f t="shared" si="13"/>
        <v>0</v>
      </c>
      <c r="BH36" s="284">
        <f t="shared" si="30"/>
        <v>4.6495397769290299E-2</v>
      </c>
      <c r="BI36" s="284">
        <f t="shared" si="31"/>
        <v>4.6495397769290299E-2</v>
      </c>
      <c r="BJ36" s="287">
        <f t="shared" si="9"/>
        <v>0</v>
      </c>
      <c r="BK36" s="284">
        <f t="shared" si="32"/>
        <v>0</v>
      </c>
      <c r="BL36" s="26"/>
      <c r="BM36" s="30"/>
      <c r="BN36" s="30"/>
      <c r="BO36" s="30"/>
      <c r="BP36" s="30"/>
      <c r="BQ36" s="30"/>
      <c r="BR36" s="30"/>
      <c r="BS36" s="293"/>
      <c r="BT36" s="26"/>
    </row>
    <row r="37" spans="1:72" ht="21.6" customHeight="1" x14ac:dyDescent="0.2">
      <c r="A37" s="7"/>
      <c r="B37" s="7"/>
      <c r="C37" s="7"/>
      <c r="D37" s="7"/>
      <c r="E37" s="7"/>
      <c r="F37" s="7"/>
      <c r="G37" s="7"/>
      <c r="H37" s="85"/>
      <c r="I37" s="219" t="s">
        <v>167</v>
      </c>
      <c r="J37" s="240">
        <v>2844918</v>
      </c>
      <c r="K37" s="240">
        <v>0</v>
      </c>
      <c r="L37" s="240">
        <v>1</v>
      </c>
      <c r="M37" s="240">
        <v>0</v>
      </c>
      <c r="N37" s="240">
        <v>0</v>
      </c>
      <c r="O37" s="220">
        <f>(N37+L37)*200000/J37</f>
        <v>7.0300796015913283E-2</v>
      </c>
      <c r="P37" s="220">
        <f>SUM(L37:N37)*200000/J37</f>
        <v>7.0300796015913283E-2</v>
      </c>
      <c r="Q37" s="240">
        <v>0</v>
      </c>
      <c r="R37" s="220">
        <f>Q37*200000/J37</f>
        <v>0</v>
      </c>
      <c r="S37" s="26"/>
      <c r="AB37" s="219" t="s">
        <v>167</v>
      </c>
      <c r="AC37" s="240">
        <v>1456583</v>
      </c>
      <c r="AD37" s="240">
        <v>0</v>
      </c>
      <c r="AE37" s="240">
        <v>0</v>
      </c>
      <c r="AF37" s="240">
        <v>0</v>
      </c>
      <c r="AG37" s="240">
        <v>0</v>
      </c>
      <c r="AH37" s="220">
        <f>(AG37+AE37)*200000/AC37</f>
        <v>0</v>
      </c>
      <c r="AI37" s="220">
        <f>SUM(AE37:AG37)*200000/AC37</f>
        <v>0</v>
      </c>
      <c r="AJ37" s="240">
        <v>0</v>
      </c>
      <c r="AK37" s="220">
        <f>AJ37*200000/AC37</f>
        <v>0</v>
      </c>
      <c r="AL37" s="26"/>
      <c r="BB37" s="219" t="s">
        <v>167</v>
      </c>
      <c r="BC37" s="194">
        <f t="shared" si="6"/>
        <v>4301501</v>
      </c>
      <c r="BD37" s="225">
        <v>0</v>
      </c>
      <c r="BE37" s="246">
        <f t="shared" si="11"/>
        <v>1</v>
      </c>
      <c r="BF37" s="246">
        <f t="shared" si="12"/>
        <v>0</v>
      </c>
      <c r="BG37" s="246">
        <f t="shared" si="13"/>
        <v>0</v>
      </c>
      <c r="BH37" s="210">
        <f t="shared" si="30"/>
        <v>4.6495397769290299E-2</v>
      </c>
      <c r="BI37" s="210">
        <f t="shared" si="31"/>
        <v>4.6495397769290299E-2</v>
      </c>
      <c r="BJ37" s="246">
        <f t="shared" si="9"/>
        <v>0</v>
      </c>
      <c r="BK37" s="210">
        <f t="shared" si="32"/>
        <v>0</v>
      </c>
      <c r="BL37" s="26"/>
      <c r="BM37" s="7"/>
      <c r="BN37" s="7"/>
      <c r="BO37" s="7"/>
      <c r="BP37" s="7"/>
      <c r="BQ37" s="7"/>
      <c r="BR37" s="7"/>
      <c r="BS37" s="7"/>
    </row>
    <row r="38" spans="1:72" ht="21.6" customHeight="1" x14ac:dyDescent="0.2">
      <c r="A38" s="7"/>
      <c r="B38" s="7"/>
      <c r="C38" s="7"/>
      <c r="D38" s="7"/>
      <c r="E38" s="7"/>
      <c r="F38" s="7"/>
      <c r="G38" s="7"/>
      <c r="H38" s="85"/>
      <c r="I38" s="276" t="s">
        <v>97</v>
      </c>
      <c r="J38" s="277">
        <f>SUM(J39)</f>
        <v>2515067</v>
      </c>
      <c r="K38" s="277">
        <v>0</v>
      </c>
      <c r="L38" s="277">
        <f>SUM(L39)</f>
        <v>0</v>
      </c>
      <c r="M38" s="277">
        <f>SUM(M39)</f>
        <v>2</v>
      </c>
      <c r="N38" s="277">
        <f>SUM(N39)</f>
        <v>0</v>
      </c>
      <c r="O38" s="278">
        <f>(N38+L38)*200000/J38</f>
        <v>0</v>
      </c>
      <c r="P38" s="278">
        <f>SUM(L38:N38)*200000/J38</f>
        <v>0.15904148875556795</v>
      </c>
      <c r="Q38" s="277">
        <f>SUM(Q39)</f>
        <v>0</v>
      </c>
      <c r="R38" s="278">
        <f>Q38*200000/J38</f>
        <v>0</v>
      </c>
      <c r="S38" s="26"/>
      <c r="AB38" s="276" t="s">
        <v>97</v>
      </c>
      <c r="AC38" s="277">
        <f>AC39</f>
        <v>5204829</v>
      </c>
      <c r="AD38" s="277">
        <v>0</v>
      </c>
      <c r="AE38" s="277">
        <f t="shared" ref="AE38:AK38" si="35">AE39</f>
        <v>0</v>
      </c>
      <c r="AF38" s="277">
        <f t="shared" si="35"/>
        <v>1</v>
      </c>
      <c r="AG38" s="277">
        <f t="shared" si="35"/>
        <v>1</v>
      </c>
      <c r="AH38" s="278">
        <f t="shared" si="35"/>
        <v>3.8425854144295613E-2</v>
      </c>
      <c r="AI38" s="278">
        <f t="shared" si="35"/>
        <v>7.6851708288591225E-2</v>
      </c>
      <c r="AJ38" s="277">
        <f t="shared" si="35"/>
        <v>0</v>
      </c>
      <c r="AK38" s="278">
        <f t="shared" si="35"/>
        <v>0</v>
      </c>
      <c r="AL38" s="26"/>
      <c r="BB38" s="276" t="s">
        <v>97</v>
      </c>
      <c r="BC38" s="192">
        <f t="shared" si="6"/>
        <v>7719896</v>
      </c>
      <c r="BD38" s="283">
        <v>0</v>
      </c>
      <c r="BE38" s="287">
        <f t="shared" si="11"/>
        <v>0</v>
      </c>
      <c r="BF38" s="287">
        <f t="shared" si="12"/>
        <v>3</v>
      </c>
      <c r="BG38" s="287">
        <f t="shared" si="13"/>
        <v>1</v>
      </c>
      <c r="BH38" s="284">
        <f t="shared" si="30"/>
        <v>2.5907084758654778E-2</v>
      </c>
      <c r="BI38" s="284">
        <f t="shared" si="31"/>
        <v>0.10362833903461911</v>
      </c>
      <c r="BJ38" s="287">
        <f t="shared" si="9"/>
        <v>0</v>
      </c>
      <c r="BK38" s="284">
        <f t="shared" si="32"/>
        <v>0</v>
      </c>
      <c r="BL38" s="26"/>
    </row>
    <row r="39" spans="1:72" ht="21.6" customHeight="1" x14ac:dyDescent="0.2">
      <c r="A39" s="7"/>
      <c r="B39" s="7"/>
      <c r="C39" s="7"/>
      <c r="D39" s="7"/>
      <c r="E39" s="7"/>
      <c r="F39" s="7"/>
      <c r="G39" s="7"/>
      <c r="H39" s="85"/>
      <c r="I39" s="219" t="s">
        <v>20</v>
      </c>
      <c r="J39" s="240">
        <v>2515067</v>
      </c>
      <c r="K39" s="240">
        <v>0</v>
      </c>
      <c r="L39" s="240">
        <v>0</v>
      </c>
      <c r="M39" s="240">
        <v>2</v>
      </c>
      <c r="N39" s="240">
        <v>0</v>
      </c>
      <c r="O39" s="220">
        <f>(N39+L39)*200000/J39</f>
        <v>0</v>
      </c>
      <c r="P39" s="220">
        <f>SUM(L39:N39)*200000/J39</f>
        <v>0.15904148875556795</v>
      </c>
      <c r="Q39" s="240">
        <v>0</v>
      </c>
      <c r="R39" s="220">
        <f>Q39*200000/J39</f>
        <v>0</v>
      </c>
      <c r="S39" s="26"/>
      <c r="AB39" s="219" t="s">
        <v>20</v>
      </c>
      <c r="AC39" s="240">
        <v>5204829</v>
      </c>
      <c r="AD39" s="240">
        <v>0</v>
      </c>
      <c r="AE39" s="240">
        <v>0</v>
      </c>
      <c r="AF39" s="240">
        <v>1</v>
      </c>
      <c r="AG39" s="240">
        <v>1</v>
      </c>
      <c r="AH39" s="220">
        <f>(AG39+AE39)*200000/AC39</f>
        <v>3.8425854144295613E-2</v>
      </c>
      <c r="AI39" s="220">
        <f>SUM(AE39:AG39)*200000/AC39</f>
        <v>7.6851708288591225E-2</v>
      </c>
      <c r="AJ39" s="240">
        <v>0</v>
      </c>
      <c r="AK39" s="220">
        <f>AJ39*200000/AC39</f>
        <v>0</v>
      </c>
      <c r="AL39" s="26"/>
      <c r="BB39" s="219" t="s">
        <v>20</v>
      </c>
      <c r="BC39" s="194">
        <f t="shared" si="6"/>
        <v>7719896</v>
      </c>
      <c r="BD39" s="225">
        <v>0</v>
      </c>
      <c r="BE39" s="246">
        <f t="shared" si="11"/>
        <v>0</v>
      </c>
      <c r="BF39" s="246">
        <f t="shared" si="12"/>
        <v>3</v>
      </c>
      <c r="BG39" s="246">
        <f t="shared" si="13"/>
        <v>1</v>
      </c>
      <c r="BH39" s="210">
        <f t="shared" si="30"/>
        <v>2.5907084758654778E-2</v>
      </c>
      <c r="BI39" s="210">
        <f t="shared" si="31"/>
        <v>0.10362833903461911</v>
      </c>
      <c r="BJ39" s="246">
        <f t="shared" si="9"/>
        <v>0</v>
      </c>
      <c r="BK39" s="210">
        <f t="shared" si="32"/>
        <v>0</v>
      </c>
      <c r="BL39" s="26"/>
    </row>
    <row r="40" spans="1:72" ht="21.6" customHeight="1" x14ac:dyDescent="0.2">
      <c r="A40" s="7"/>
      <c r="B40" s="7"/>
      <c r="C40" s="7"/>
      <c r="D40" s="7"/>
      <c r="E40" s="7"/>
      <c r="F40" s="7"/>
      <c r="G40" s="7"/>
      <c r="H40" s="85"/>
      <c r="I40" s="276" t="s">
        <v>579</v>
      </c>
      <c r="J40" s="277">
        <f>J41</f>
        <v>269777.09999999998</v>
      </c>
      <c r="K40" s="277">
        <v>0</v>
      </c>
      <c r="L40" s="277">
        <f t="shared" ref="L40:R40" si="36">L41</f>
        <v>0</v>
      </c>
      <c r="M40" s="277">
        <f t="shared" si="36"/>
        <v>0</v>
      </c>
      <c r="N40" s="277">
        <f t="shared" si="36"/>
        <v>0</v>
      </c>
      <c r="O40" s="278">
        <f t="shared" si="36"/>
        <v>0</v>
      </c>
      <c r="P40" s="278">
        <f t="shared" si="36"/>
        <v>0</v>
      </c>
      <c r="Q40" s="277">
        <f t="shared" si="36"/>
        <v>0</v>
      </c>
      <c r="R40" s="278">
        <f t="shared" si="36"/>
        <v>0</v>
      </c>
      <c r="S40" s="26"/>
      <c r="AB40" s="276" t="s">
        <v>579</v>
      </c>
      <c r="AC40" s="277">
        <f>AC41</f>
        <v>363619.26</v>
      </c>
      <c r="AD40" s="277">
        <v>0</v>
      </c>
      <c r="AE40" s="277">
        <f t="shared" ref="AE40:AK40" si="37">AE41</f>
        <v>3</v>
      </c>
      <c r="AF40" s="277">
        <f t="shared" si="37"/>
        <v>3</v>
      </c>
      <c r="AG40" s="277">
        <f t="shared" si="37"/>
        <v>1</v>
      </c>
      <c r="AH40" s="278">
        <f t="shared" si="37"/>
        <v>2.2001034818672696</v>
      </c>
      <c r="AI40" s="278">
        <f t="shared" si="37"/>
        <v>3.8501810932677216</v>
      </c>
      <c r="AJ40" s="277">
        <f t="shared" si="37"/>
        <v>0</v>
      </c>
      <c r="AK40" s="278">
        <f t="shared" si="37"/>
        <v>0</v>
      </c>
      <c r="AL40" s="26"/>
      <c r="BB40" s="276" t="s">
        <v>579</v>
      </c>
      <c r="BC40" s="192">
        <f t="shared" si="6"/>
        <v>633396.36</v>
      </c>
      <c r="BD40" s="283">
        <v>0</v>
      </c>
      <c r="BE40" s="287">
        <f t="shared" si="11"/>
        <v>3</v>
      </c>
      <c r="BF40" s="287">
        <f t="shared" si="12"/>
        <v>3</v>
      </c>
      <c r="BG40" s="287">
        <f t="shared" si="13"/>
        <v>1</v>
      </c>
      <c r="BH40" s="284">
        <f t="shared" si="30"/>
        <v>1.263032203090021</v>
      </c>
      <c r="BI40" s="284">
        <f t="shared" si="31"/>
        <v>2.2103063554075368</v>
      </c>
      <c r="BJ40" s="287">
        <f t="shared" si="9"/>
        <v>0</v>
      </c>
      <c r="BK40" s="284">
        <f t="shared" si="32"/>
        <v>0</v>
      </c>
      <c r="BL40" s="26"/>
    </row>
    <row r="41" spans="1:72" ht="21.6" customHeight="1" x14ac:dyDescent="0.2">
      <c r="A41" s="7"/>
      <c r="B41" s="7"/>
      <c r="C41" s="7"/>
      <c r="D41" s="7"/>
      <c r="E41" s="7"/>
      <c r="F41" s="7"/>
      <c r="G41" s="7"/>
      <c r="H41" s="85"/>
      <c r="I41" s="219" t="s">
        <v>620</v>
      </c>
      <c r="J41" s="240">
        <v>269777.09999999998</v>
      </c>
      <c r="K41" s="240">
        <v>0</v>
      </c>
      <c r="L41" s="240">
        <v>0</v>
      </c>
      <c r="M41" s="240">
        <v>0</v>
      </c>
      <c r="N41" s="240">
        <v>0</v>
      </c>
      <c r="O41" s="220">
        <v>0</v>
      </c>
      <c r="P41" s="220">
        <v>0</v>
      </c>
      <c r="Q41" s="240">
        <v>0</v>
      </c>
      <c r="R41" s="220">
        <v>0</v>
      </c>
      <c r="S41" s="26"/>
      <c r="AB41" s="219" t="s">
        <v>620</v>
      </c>
      <c r="AC41" s="240">
        <v>363619.26</v>
      </c>
      <c r="AD41" s="240">
        <v>0</v>
      </c>
      <c r="AE41" s="240">
        <v>3</v>
      </c>
      <c r="AF41" s="240">
        <v>3</v>
      </c>
      <c r="AG41" s="240">
        <v>1</v>
      </c>
      <c r="AH41" s="220">
        <f>(AG41+AE41)*200000/AC41</f>
        <v>2.2001034818672696</v>
      </c>
      <c r="AI41" s="220">
        <f>SUM(AE41:AG41)*200000/AC41</f>
        <v>3.8501810932677216</v>
      </c>
      <c r="AJ41" s="240">
        <v>0</v>
      </c>
      <c r="AK41" s="220">
        <f>AJ41*200000/AC41</f>
        <v>0</v>
      </c>
      <c r="AL41" s="26"/>
      <c r="BB41" s="219" t="s">
        <v>620</v>
      </c>
      <c r="BC41" s="194">
        <f t="shared" si="6"/>
        <v>633396.36</v>
      </c>
      <c r="BD41" s="225">
        <v>0</v>
      </c>
      <c r="BE41" s="246">
        <f t="shared" si="11"/>
        <v>3</v>
      </c>
      <c r="BF41" s="246">
        <f t="shared" si="12"/>
        <v>3</v>
      </c>
      <c r="BG41" s="246">
        <f t="shared" si="13"/>
        <v>1</v>
      </c>
      <c r="BH41" s="210">
        <f t="shared" si="30"/>
        <v>1.263032203090021</v>
      </c>
      <c r="BI41" s="210">
        <f t="shared" si="31"/>
        <v>2.2103063554075368</v>
      </c>
      <c r="BJ41" s="246">
        <f t="shared" si="9"/>
        <v>0</v>
      </c>
      <c r="BK41" s="210">
        <f t="shared" si="32"/>
        <v>0</v>
      </c>
      <c r="BL41" s="26"/>
    </row>
    <row r="42" spans="1:72" ht="21.6" customHeight="1" x14ac:dyDescent="0.2">
      <c r="A42" s="7"/>
      <c r="B42" s="7"/>
      <c r="C42" s="7"/>
      <c r="D42" s="7"/>
      <c r="E42" s="7"/>
      <c r="F42" s="7"/>
      <c r="G42" s="7"/>
      <c r="H42" s="85"/>
      <c r="I42" s="276" t="s">
        <v>580</v>
      </c>
      <c r="J42" s="277">
        <f>SUM(J43:J44)</f>
        <v>649990</v>
      </c>
      <c r="K42" s="277">
        <v>0</v>
      </c>
      <c r="L42" s="277">
        <f>SUM(L43:L44)</f>
        <v>0</v>
      </c>
      <c r="M42" s="277">
        <f>SUM(M43:M44)</f>
        <v>0</v>
      </c>
      <c r="N42" s="277">
        <f>SUM(N43:N44)</f>
        <v>1</v>
      </c>
      <c r="O42" s="278">
        <f>(N42+L42)*200000/J42</f>
        <v>0.30769704149294602</v>
      </c>
      <c r="P42" s="278">
        <f>SUM(L42:N42)*200000/J42</f>
        <v>0.30769704149294602</v>
      </c>
      <c r="Q42" s="277">
        <f>SUM(Q43:Q44)</f>
        <v>0</v>
      </c>
      <c r="R42" s="278">
        <f>Q42*200000/J42</f>
        <v>0</v>
      </c>
      <c r="S42" s="26"/>
      <c r="AB42" s="276" t="s">
        <v>580</v>
      </c>
      <c r="AC42" s="277">
        <f>SUM(AC43:AC44)</f>
        <v>1677191</v>
      </c>
      <c r="AD42" s="277">
        <v>0</v>
      </c>
      <c r="AE42" s="277">
        <f>SUM(AE43:AE44)</f>
        <v>1</v>
      </c>
      <c r="AF42" s="277">
        <f>SUM(AF43:AF44)</f>
        <v>1</v>
      </c>
      <c r="AG42" s="277">
        <f>SUM(AG43:AG44)</f>
        <v>0</v>
      </c>
      <c r="AH42" s="278">
        <f>(AG42+AE42)*200000/AC42</f>
        <v>0.11924700287564148</v>
      </c>
      <c r="AI42" s="278">
        <f>SUM(AE42:AG42)*200000/AC42</f>
        <v>0.23849400575128296</v>
      </c>
      <c r="AJ42" s="277">
        <f>SUM(AJ43:AJ44)</f>
        <v>0</v>
      </c>
      <c r="AK42" s="278">
        <f>AJ42*200000/AC42</f>
        <v>0</v>
      </c>
      <c r="AL42" s="26"/>
      <c r="BB42" s="276" t="s">
        <v>580</v>
      </c>
      <c r="BC42" s="192">
        <f t="shared" si="6"/>
        <v>2327181</v>
      </c>
      <c r="BD42" s="283">
        <v>0</v>
      </c>
      <c r="BE42" s="287">
        <f t="shared" si="11"/>
        <v>1</v>
      </c>
      <c r="BF42" s="287">
        <f t="shared" si="12"/>
        <v>1</v>
      </c>
      <c r="BG42" s="287">
        <f t="shared" si="13"/>
        <v>1</v>
      </c>
      <c r="BH42" s="284">
        <f t="shared" si="30"/>
        <v>0.17188177455900508</v>
      </c>
      <c r="BI42" s="284">
        <f t="shared" si="31"/>
        <v>0.25782266183850761</v>
      </c>
      <c r="BJ42" s="287">
        <f t="shared" si="9"/>
        <v>0</v>
      </c>
      <c r="BK42" s="284">
        <f t="shared" si="32"/>
        <v>0</v>
      </c>
      <c r="BL42" s="26"/>
    </row>
    <row r="43" spans="1:72" ht="21.6" customHeight="1" x14ac:dyDescent="0.2">
      <c r="A43" s="7"/>
      <c r="B43" s="7"/>
      <c r="C43" s="7"/>
      <c r="D43" s="7"/>
      <c r="E43" s="7"/>
      <c r="F43" s="7"/>
      <c r="G43" s="7"/>
      <c r="H43" s="85"/>
      <c r="I43" s="219" t="s">
        <v>620</v>
      </c>
      <c r="J43" s="240">
        <v>447635</v>
      </c>
      <c r="K43" s="240">
        <v>0</v>
      </c>
      <c r="L43" s="240">
        <v>0</v>
      </c>
      <c r="M43" s="240">
        <v>0</v>
      </c>
      <c r="N43" s="240">
        <v>0</v>
      </c>
      <c r="O43" s="220">
        <f>(N43+L43)*200000/J43</f>
        <v>0</v>
      </c>
      <c r="P43" s="220">
        <f>SUM(L43:N43)*200000/J43</f>
        <v>0</v>
      </c>
      <c r="Q43" s="240">
        <v>0</v>
      </c>
      <c r="R43" s="220">
        <f>Q43*200000/J43</f>
        <v>0</v>
      </c>
      <c r="S43" s="26"/>
      <c r="AB43" s="219" t="s">
        <v>620</v>
      </c>
      <c r="AC43" s="240">
        <v>498746</v>
      </c>
      <c r="AD43" s="240">
        <v>0</v>
      </c>
      <c r="AE43" s="240">
        <v>1</v>
      </c>
      <c r="AF43" s="240">
        <v>1</v>
      </c>
      <c r="AG43" s="240">
        <v>0</v>
      </c>
      <c r="AH43" s="220">
        <f>(AG43+AE43)*200000/AC43</f>
        <v>0.40100572235165793</v>
      </c>
      <c r="AI43" s="220">
        <f>SUM(AE43:AG43)*200000/AC43</f>
        <v>0.80201144470331587</v>
      </c>
      <c r="AJ43" s="240">
        <v>0</v>
      </c>
      <c r="AK43" s="220">
        <f>AJ43*200000/AC43</f>
        <v>0</v>
      </c>
      <c r="AL43" s="26"/>
      <c r="BB43" s="219" t="s">
        <v>620</v>
      </c>
      <c r="BC43" s="194">
        <f t="shared" si="6"/>
        <v>946381</v>
      </c>
      <c r="BD43" s="225">
        <v>0</v>
      </c>
      <c r="BE43" s="246">
        <f t="shared" si="11"/>
        <v>1</v>
      </c>
      <c r="BF43" s="246">
        <f t="shared" si="12"/>
        <v>1</v>
      </c>
      <c r="BG43" s="246">
        <f t="shared" si="13"/>
        <v>0</v>
      </c>
      <c r="BH43" s="210">
        <f t="shared" si="30"/>
        <v>0.21133137710921923</v>
      </c>
      <c r="BI43" s="210">
        <f t="shared" si="31"/>
        <v>0.42266275421843846</v>
      </c>
      <c r="BJ43" s="246">
        <f t="shared" si="9"/>
        <v>0</v>
      </c>
      <c r="BK43" s="210">
        <f t="shared" si="32"/>
        <v>0</v>
      </c>
      <c r="BL43" s="26"/>
    </row>
    <row r="44" spans="1:72" ht="21.6" customHeight="1" x14ac:dyDescent="0.2">
      <c r="A44" s="7"/>
      <c r="B44" s="7"/>
      <c r="C44" s="7"/>
      <c r="D44" s="7"/>
      <c r="E44" s="7"/>
      <c r="F44" s="7"/>
      <c r="G44" s="7"/>
      <c r="H44" s="85"/>
      <c r="I44" s="219" t="s">
        <v>625</v>
      </c>
      <c r="J44" s="240">
        <v>202355</v>
      </c>
      <c r="K44" s="240">
        <v>0</v>
      </c>
      <c r="L44" s="240">
        <v>0</v>
      </c>
      <c r="M44" s="240">
        <v>0</v>
      </c>
      <c r="N44" s="240">
        <v>1</v>
      </c>
      <c r="O44" s="220">
        <f>(N44+L44)*200000/J44</f>
        <v>0.98836203701415826</v>
      </c>
      <c r="P44" s="220">
        <f>SUM(L44:N44)*200000/J44</f>
        <v>0.98836203701415826</v>
      </c>
      <c r="Q44" s="240">
        <v>0</v>
      </c>
      <c r="R44" s="220">
        <f>Q44*200000/J44</f>
        <v>0</v>
      </c>
      <c r="S44" s="26"/>
      <c r="AB44" s="219" t="s">
        <v>625</v>
      </c>
      <c r="AC44" s="240">
        <v>1178445</v>
      </c>
      <c r="AD44" s="240">
        <v>0</v>
      </c>
      <c r="AE44" s="240">
        <v>0</v>
      </c>
      <c r="AF44" s="240">
        <v>0</v>
      </c>
      <c r="AG44" s="240">
        <v>0</v>
      </c>
      <c r="AH44" s="220">
        <f>(AG44+AE44)*200000/AC44</f>
        <v>0</v>
      </c>
      <c r="AI44" s="220">
        <f>SUM(AE44:AG44)*200000/AC44</f>
        <v>0</v>
      </c>
      <c r="AJ44" s="240">
        <v>0</v>
      </c>
      <c r="AK44" s="220">
        <f>AJ44*200000/AC44</f>
        <v>0</v>
      </c>
      <c r="AL44" s="26"/>
      <c r="BB44" s="219" t="s">
        <v>625</v>
      </c>
      <c r="BC44" s="194">
        <f t="shared" si="6"/>
        <v>1380800</v>
      </c>
      <c r="BD44" s="225">
        <v>0</v>
      </c>
      <c r="BE44" s="246">
        <f t="shared" si="11"/>
        <v>0</v>
      </c>
      <c r="BF44" s="246">
        <f t="shared" si="12"/>
        <v>0</v>
      </c>
      <c r="BG44" s="246">
        <f t="shared" si="13"/>
        <v>1</v>
      </c>
      <c r="BH44" s="210">
        <f t="shared" si="30"/>
        <v>0.14484356894553882</v>
      </c>
      <c r="BI44" s="210">
        <f t="shared" si="31"/>
        <v>0.14484356894553882</v>
      </c>
      <c r="BJ44" s="246">
        <f t="shared" si="9"/>
        <v>0</v>
      </c>
      <c r="BK44" s="210">
        <f t="shared" si="32"/>
        <v>0</v>
      </c>
      <c r="BL44" s="26"/>
    </row>
    <row r="45" spans="1:72" ht="21.6" customHeight="1" x14ac:dyDescent="0.2">
      <c r="I45" s="276" t="s">
        <v>90</v>
      </c>
      <c r="J45" s="277">
        <f>J42+J40+J38+J36+J34+J31+J29+J23+J17+J10+J4</f>
        <v>29145128.82</v>
      </c>
      <c r="K45" s="277">
        <v>0</v>
      </c>
      <c r="L45" s="277">
        <f>L42+L40+L38+L36+L34+L31+L29+L23+L17+L10+L4</f>
        <v>8</v>
      </c>
      <c r="M45" s="277">
        <f>M42+M40+M38+M36+M34+M31+M29+M23+M17+M10+M4</f>
        <v>17</v>
      </c>
      <c r="N45" s="277">
        <f>N42+N40+N38+N36+N34+N31+N29+N23+N17+N10+N4</f>
        <v>18</v>
      </c>
      <c r="O45" s="278">
        <f>(N45+L45)*200000/J45</f>
        <v>0.17841746496010169</v>
      </c>
      <c r="P45" s="278">
        <f>SUM(L45:N45)*200000/J45</f>
        <v>0.2950750382032451</v>
      </c>
      <c r="Q45" s="277">
        <f>Q42+Q40+Q38+Q36+Q34+Q31+Q29+Q23+Q17+Q10+Q4</f>
        <v>8</v>
      </c>
      <c r="R45" s="278">
        <f>Q45*200000/J45</f>
        <v>5.4897681526185134E-2</v>
      </c>
      <c r="S45" s="26"/>
      <c r="AB45" s="276" t="s">
        <v>90</v>
      </c>
      <c r="AC45" s="277">
        <f>AC42+AC40+AC38+AC36+AC34+AC31+AC29+AC23+AC17+AC10+AC4</f>
        <v>32094659.079999998</v>
      </c>
      <c r="AD45" s="277">
        <v>0</v>
      </c>
      <c r="AE45" s="277">
        <f>AE42+AE40+AE38+AE36+AE34+AE31+AE29+AE23+AE17+AE10+AE4</f>
        <v>20</v>
      </c>
      <c r="AF45" s="277">
        <f>AF42+AF40+AF38+AF36+AF34+AF31+AF29+AF23+AF17+AF10+AF4</f>
        <v>20</v>
      </c>
      <c r="AG45" s="277">
        <f>AG42+AG40+AG38+AG36+AG34+AG31+AG29+AG23+AG17+AG10+AG4</f>
        <v>17</v>
      </c>
      <c r="AH45" s="278">
        <f>(AG45+AE45)*200000/AC45</f>
        <v>0.23056795778869513</v>
      </c>
      <c r="AI45" s="278">
        <f>SUM(AE45:AG45)*200000/AC45</f>
        <v>0.35519928632312492</v>
      </c>
      <c r="AJ45" s="277">
        <f>AJ42+AJ40+AJ38+AJ36+AJ34+AJ31+AJ29+AJ23+AJ17+AJ10+AJ4</f>
        <v>12</v>
      </c>
      <c r="AK45" s="278">
        <f>AJ45*200000/AC45</f>
        <v>7.4778797120657881E-2</v>
      </c>
      <c r="AL45" s="26"/>
      <c r="BB45" s="276" t="s">
        <v>90</v>
      </c>
      <c r="BC45" s="277">
        <f>BC42+BC40+BC38+BC36+BC34+BC31+BC29+BC23+BC17+BC10+BC4</f>
        <v>61239787.899999999</v>
      </c>
      <c r="BD45" s="277">
        <v>0</v>
      </c>
      <c r="BE45" s="277">
        <f>BE42+BE40+BE38+BE36+BE34+BE31+BE29+BE23+BE17+BE10+BE4</f>
        <v>28</v>
      </c>
      <c r="BF45" s="277">
        <f>BF42+BF40+BF38+BF36+BF34+BF31+BF29+BF23+BF17+BF10+BF4</f>
        <v>37</v>
      </c>
      <c r="BG45" s="277">
        <f>BG42+BG40+BG38+BG36+BG34+BG31+BG29+BG23+BG17+BG10+BG4</f>
        <v>35</v>
      </c>
      <c r="BH45" s="278">
        <f t="shared" si="30"/>
        <v>0.20574858979875729</v>
      </c>
      <c r="BI45" s="278">
        <f t="shared" si="31"/>
        <v>0.32658506317263064</v>
      </c>
      <c r="BJ45" s="277">
        <f>BJ42+BJ40+BJ38+BJ36+BJ34+BJ31+BJ29+BJ23+BJ17+BJ10+BJ4</f>
        <v>20</v>
      </c>
      <c r="BK45" s="278">
        <f t="shared" si="32"/>
        <v>6.531701263452612E-2</v>
      </c>
      <c r="BL45" s="26"/>
    </row>
    <row r="46" spans="1:72" ht="34.15" customHeight="1" x14ac:dyDescent="0.2">
      <c r="A46" s="7"/>
      <c r="B46" s="7"/>
      <c r="C46" s="7"/>
      <c r="D46" s="7"/>
      <c r="E46" s="7"/>
      <c r="F46" s="7"/>
      <c r="G46" s="7"/>
      <c r="H46" s="7"/>
      <c r="I46" s="566" t="s">
        <v>636</v>
      </c>
      <c r="J46" s="566"/>
      <c r="K46" s="566"/>
      <c r="L46" s="566"/>
      <c r="M46" s="566"/>
      <c r="N46" s="566"/>
      <c r="O46" s="566"/>
      <c r="P46" s="566"/>
      <c r="Q46" s="566"/>
      <c r="R46" s="566"/>
      <c r="AB46" s="566" t="s">
        <v>637</v>
      </c>
      <c r="AC46" s="566"/>
      <c r="AD46" s="566"/>
      <c r="AE46" s="566"/>
      <c r="AF46" s="566"/>
      <c r="AG46" s="566"/>
      <c r="AH46" s="566"/>
      <c r="AI46" s="566"/>
      <c r="AJ46" s="566"/>
      <c r="AK46" s="566"/>
      <c r="BB46" s="566" t="s">
        <v>638</v>
      </c>
      <c r="BC46" s="566"/>
      <c r="BD46" s="566"/>
      <c r="BE46" s="566"/>
      <c r="BF46" s="566"/>
      <c r="BG46" s="566"/>
      <c r="BH46" s="566"/>
      <c r="BI46" s="566"/>
      <c r="BJ46" s="566"/>
      <c r="BK46" s="566"/>
    </row>
    <row r="47" spans="1:72" ht="21.6" customHeight="1" x14ac:dyDescent="0.2">
      <c r="A47" s="7"/>
      <c r="B47" s="7"/>
      <c r="C47" s="7"/>
      <c r="D47" s="7"/>
      <c r="E47" s="7"/>
      <c r="F47" s="7"/>
      <c r="G47" s="7"/>
      <c r="H47" s="7"/>
      <c r="I47" s="7"/>
      <c r="J47" s="7"/>
      <c r="K47" s="7"/>
      <c r="L47" s="7"/>
      <c r="M47" s="7"/>
      <c r="N47" s="7"/>
      <c r="O47" s="7"/>
      <c r="P47" s="7"/>
      <c r="Q47" s="7"/>
      <c r="R47" s="7"/>
      <c r="AB47" s="573"/>
      <c r="AC47" s="573"/>
      <c r="AD47" s="573"/>
      <c r="AE47" s="573"/>
      <c r="AF47" s="573"/>
      <c r="AG47" s="573"/>
      <c r="AH47" s="573"/>
      <c r="AI47" s="573"/>
      <c r="AJ47" s="573"/>
      <c r="AK47" s="573"/>
      <c r="BB47" s="7"/>
      <c r="BC47" s="7"/>
      <c r="BD47" s="7"/>
      <c r="BE47" s="7"/>
      <c r="BF47" s="7"/>
      <c r="BG47" s="7"/>
      <c r="BH47" s="7"/>
      <c r="BI47" s="7"/>
      <c r="BJ47" s="7"/>
      <c r="BK47" s="7"/>
    </row>
    <row r="48" spans="1:72" ht="37.5" customHeight="1" x14ac:dyDescent="0.2">
      <c r="A48" s="7"/>
      <c r="B48" s="7"/>
      <c r="C48" s="7"/>
      <c r="D48" s="7"/>
      <c r="E48" s="7"/>
      <c r="F48" s="7"/>
      <c r="G48" s="7"/>
      <c r="H48" s="7"/>
      <c r="I48" s="7"/>
      <c r="J48" s="7"/>
      <c r="AB48" s="7"/>
      <c r="BB48" s="7"/>
    </row>
    <row r="49" spans="1:12" ht="21.6" customHeight="1" x14ac:dyDescent="0.2">
      <c r="A49" s="7"/>
      <c r="B49" s="7"/>
      <c r="C49" s="7"/>
      <c r="D49" s="7"/>
      <c r="E49" s="7"/>
      <c r="F49" s="7"/>
      <c r="G49" s="7"/>
      <c r="H49" s="7"/>
      <c r="I49" s="7"/>
      <c r="J49" s="7"/>
      <c r="K49" s="23"/>
      <c r="L49" s="23"/>
    </row>
    <row r="50" spans="1:12" ht="43.35" customHeight="1" x14ac:dyDescent="0.2">
      <c r="A50" s="7"/>
      <c r="B50" s="7"/>
      <c r="C50" s="7"/>
      <c r="D50" s="7"/>
      <c r="E50" s="7"/>
      <c r="F50" s="7"/>
      <c r="G50" s="7"/>
      <c r="H50" s="7"/>
      <c r="I50" s="7"/>
      <c r="J50" s="7"/>
      <c r="K50" s="23"/>
      <c r="L50" s="23"/>
    </row>
    <row r="51" spans="1:12" ht="21.6" customHeight="1" x14ac:dyDescent="0.2">
      <c r="A51" s="7"/>
      <c r="B51" s="7"/>
      <c r="C51" s="7"/>
      <c r="D51" s="7"/>
      <c r="E51" s="7"/>
      <c r="F51" s="7"/>
      <c r="G51" s="7"/>
      <c r="H51" s="7"/>
      <c r="I51" s="7"/>
      <c r="J51" s="7"/>
      <c r="K51" s="23"/>
      <c r="L51" s="23"/>
    </row>
    <row r="52" spans="1:12" ht="21.6" customHeight="1" x14ac:dyDescent="0.2">
      <c r="A52" s="7"/>
      <c r="B52" s="7"/>
      <c r="C52" s="7"/>
      <c r="D52" s="7"/>
      <c r="E52" s="7"/>
      <c r="F52" s="7"/>
      <c r="G52" s="7"/>
      <c r="H52" s="7"/>
      <c r="I52" s="7"/>
      <c r="J52" s="7"/>
      <c r="K52" s="23"/>
      <c r="L52" s="23"/>
    </row>
    <row r="53" spans="1:12" ht="21.6" customHeight="1" x14ac:dyDescent="0.2">
      <c r="A53" s="7"/>
      <c r="B53" s="7"/>
      <c r="C53" s="7"/>
      <c r="D53" s="7"/>
      <c r="E53" s="7"/>
      <c r="F53" s="7"/>
      <c r="G53" s="7"/>
      <c r="H53" s="7"/>
      <c r="I53" s="7"/>
      <c r="J53" s="7"/>
      <c r="K53" s="23"/>
      <c r="L53" s="23"/>
    </row>
    <row r="54" spans="1:12" ht="21.6" customHeight="1" x14ac:dyDescent="0.2">
      <c r="A54" s="7"/>
      <c r="B54" s="7"/>
      <c r="C54" s="7"/>
      <c r="D54" s="7"/>
      <c r="E54" s="7"/>
      <c r="F54" s="7"/>
      <c r="G54" s="7"/>
      <c r="H54" s="7"/>
      <c r="I54" s="7"/>
      <c r="J54" s="7"/>
      <c r="K54" s="23"/>
      <c r="L54" s="23"/>
    </row>
    <row r="55" spans="1:12" ht="21.6" customHeight="1" x14ac:dyDescent="0.2">
      <c r="A55" s="7"/>
      <c r="B55" s="7"/>
      <c r="C55" s="7"/>
      <c r="D55" s="7"/>
      <c r="E55" s="7"/>
      <c r="F55" s="7"/>
      <c r="G55" s="7"/>
      <c r="H55" s="7"/>
      <c r="K55" s="23"/>
      <c r="L55" s="23"/>
    </row>
    <row r="56" spans="1:12" ht="21.6" customHeight="1" x14ac:dyDescent="0.2">
      <c r="A56" s="7"/>
      <c r="B56" s="7"/>
      <c r="C56" s="7"/>
      <c r="D56" s="7"/>
      <c r="E56" s="7"/>
      <c r="F56" s="7"/>
      <c r="G56" s="7"/>
      <c r="H56" s="7"/>
      <c r="I56" s="23"/>
      <c r="J56" s="23"/>
      <c r="K56" s="23"/>
      <c r="L56" s="23"/>
    </row>
    <row r="57" spans="1:12" ht="36.6" customHeight="1" x14ac:dyDescent="0.2">
      <c r="A57" s="7"/>
      <c r="I57" s="23"/>
      <c r="J57" s="23"/>
      <c r="K57" s="23"/>
      <c r="L57" s="23"/>
    </row>
    <row r="58" spans="1:12" ht="66.599999999999994" customHeight="1" x14ac:dyDescent="0.2">
      <c r="A58" s="23"/>
      <c r="B58" s="23"/>
      <c r="C58" s="23"/>
      <c r="D58" s="23"/>
      <c r="E58" s="23"/>
      <c r="F58" s="23"/>
      <c r="G58" s="23"/>
      <c r="H58" s="23"/>
      <c r="I58" s="23"/>
      <c r="J58" s="23"/>
      <c r="K58" s="23"/>
      <c r="L58" s="23"/>
    </row>
    <row r="59" spans="1:12" ht="30" customHeight="1" x14ac:dyDescent="0.2">
      <c r="A59" s="7"/>
      <c r="B59" s="7"/>
      <c r="C59" s="7"/>
      <c r="D59" s="7"/>
      <c r="E59" s="23"/>
      <c r="F59" s="23"/>
      <c r="G59" s="23"/>
      <c r="H59" s="23"/>
      <c r="I59" s="23"/>
      <c r="J59" s="23"/>
      <c r="K59" s="23"/>
      <c r="L59" s="23"/>
    </row>
    <row r="60" spans="1:12" ht="21.6" customHeight="1" x14ac:dyDescent="0.2">
      <c r="A60" s="7"/>
      <c r="B60" s="7"/>
      <c r="C60" s="7"/>
      <c r="D60" s="7"/>
      <c r="E60" s="23"/>
      <c r="F60" s="23"/>
      <c r="G60" s="23"/>
      <c r="H60" s="23"/>
      <c r="I60" s="23"/>
      <c r="J60" s="23"/>
      <c r="K60" s="23"/>
      <c r="L60" s="23"/>
    </row>
    <row r="61" spans="1:12" ht="21.6" customHeight="1" x14ac:dyDescent="0.2">
      <c r="A61" s="7"/>
      <c r="B61" s="7"/>
      <c r="C61" s="7"/>
      <c r="D61" s="7"/>
      <c r="E61" s="23"/>
      <c r="F61" s="23"/>
      <c r="G61" s="23"/>
      <c r="H61" s="23"/>
      <c r="I61" s="23"/>
      <c r="J61" s="23"/>
      <c r="K61" s="23"/>
      <c r="L61" s="23"/>
    </row>
    <row r="62" spans="1:12" ht="21.6" customHeight="1" x14ac:dyDescent="0.2">
      <c r="A62" s="7"/>
      <c r="B62" s="7"/>
      <c r="C62" s="7"/>
      <c r="D62" s="7"/>
      <c r="E62" s="23"/>
      <c r="F62" s="23"/>
      <c r="G62" s="23"/>
      <c r="H62" s="23"/>
      <c r="I62" s="23"/>
      <c r="J62" s="23"/>
      <c r="K62" s="23"/>
      <c r="L62" s="23"/>
    </row>
    <row r="63" spans="1:12" ht="21.6" customHeight="1" x14ac:dyDescent="0.2">
      <c r="A63" s="7"/>
      <c r="B63" s="7"/>
      <c r="C63" s="7"/>
      <c r="D63" s="7"/>
      <c r="E63" s="23"/>
      <c r="F63" s="23"/>
      <c r="G63" s="23"/>
      <c r="H63" s="23"/>
      <c r="I63" s="23"/>
      <c r="J63" s="23"/>
      <c r="K63" s="23"/>
      <c r="L63" s="23"/>
    </row>
    <row r="64" spans="1:12" ht="21.6" customHeight="1" x14ac:dyDescent="0.2">
      <c r="A64" s="7"/>
      <c r="B64" s="7"/>
      <c r="C64" s="7"/>
      <c r="D64" s="7"/>
      <c r="E64" s="23"/>
      <c r="F64" s="23"/>
      <c r="G64" s="23"/>
      <c r="H64" s="23"/>
      <c r="I64" s="23"/>
      <c r="J64" s="23"/>
      <c r="K64" s="23"/>
      <c r="L64" s="23"/>
    </row>
    <row r="65" spans="1:12" ht="50.85" customHeight="1" x14ac:dyDescent="0.2">
      <c r="A65" s="7"/>
      <c r="E65" s="23"/>
      <c r="F65" s="23"/>
      <c r="G65" s="23"/>
      <c r="H65" s="23"/>
      <c r="I65" s="23"/>
      <c r="J65" s="23"/>
      <c r="K65" s="23"/>
      <c r="L65" s="23"/>
    </row>
    <row r="66" spans="1:12" ht="50.85" customHeight="1" x14ac:dyDescent="0.2">
      <c r="E66" s="23"/>
      <c r="F66" s="23"/>
      <c r="G66" s="23"/>
      <c r="H66" s="23"/>
      <c r="I66" s="7"/>
      <c r="J66" s="7"/>
      <c r="K66" s="23"/>
      <c r="L66" s="23"/>
    </row>
    <row r="67" spans="1:12" ht="66.599999999999994" customHeight="1" x14ac:dyDescent="0.2">
      <c r="E67" s="23"/>
      <c r="F67" s="23"/>
      <c r="G67" s="23"/>
      <c r="H67" s="23"/>
      <c r="I67" s="7"/>
      <c r="J67" s="7"/>
      <c r="K67" s="23"/>
      <c r="L67" s="23"/>
    </row>
    <row r="68" spans="1:12" ht="33.200000000000003" customHeight="1" x14ac:dyDescent="0.2">
      <c r="A68" s="7"/>
      <c r="B68" s="7"/>
      <c r="C68" s="7"/>
      <c r="D68" s="7"/>
      <c r="E68" s="7"/>
      <c r="F68" s="7"/>
      <c r="G68" s="7"/>
      <c r="H68" s="7"/>
      <c r="I68" s="7"/>
      <c r="J68" s="7"/>
      <c r="K68" s="23"/>
      <c r="L68" s="23"/>
    </row>
    <row r="69" spans="1:12" ht="21.6" customHeight="1" x14ac:dyDescent="0.2">
      <c r="A69" s="7"/>
      <c r="B69" s="7"/>
      <c r="C69" s="7"/>
      <c r="D69" s="7"/>
      <c r="E69" s="7"/>
      <c r="F69" s="7"/>
      <c r="G69" s="7"/>
      <c r="H69" s="7"/>
      <c r="I69" s="7"/>
      <c r="J69" s="7"/>
      <c r="K69" s="23"/>
      <c r="L69" s="23"/>
    </row>
    <row r="70" spans="1:12" ht="21.6" customHeight="1" x14ac:dyDescent="0.2">
      <c r="A70" s="7"/>
      <c r="B70" s="7"/>
      <c r="C70" s="7"/>
      <c r="D70" s="7"/>
      <c r="E70" s="7"/>
      <c r="F70" s="7"/>
      <c r="G70" s="7"/>
      <c r="H70" s="7"/>
      <c r="I70" s="7"/>
      <c r="J70" s="7"/>
      <c r="K70" s="23"/>
      <c r="L70" s="23"/>
    </row>
    <row r="71" spans="1:12" ht="21.6" customHeight="1" x14ac:dyDescent="0.2">
      <c r="A71" s="7"/>
      <c r="B71" s="7"/>
      <c r="C71" s="7"/>
      <c r="D71" s="7"/>
      <c r="E71" s="7"/>
      <c r="F71" s="7"/>
      <c r="G71" s="7"/>
      <c r="H71" s="7"/>
      <c r="I71" s="7"/>
      <c r="J71" s="7"/>
      <c r="K71" s="23"/>
      <c r="L71" s="23"/>
    </row>
    <row r="72" spans="1:12" ht="21.6" customHeight="1" x14ac:dyDescent="0.2">
      <c r="A72" s="7"/>
      <c r="B72" s="7"/>
      <c r="C72" s="7"/>
      <c r="D72" s="7"/>
      <c r="E72" s="7"/>
      <c r="F72" s="7"/>
      <c r="G72" s="7"/>
      <c r="H72" s="7"/>
      <c r="I72" s="7"/>
      <c r="J72" s="7"/>
      <c r="K72" s="23"/>
      <c r="L72" s="23"/>
    </row>
    <row r="73" spans="1:12" ht="21.6" customHeight="1" x14ac:dyDescent="0.2">
      <c r="A73" s="7"/>
      <c r="B73" s="7"/>
      <c r="C73" s="7"/>
      <c r="D73" s="7"/>
      <c r="E73" s="7"/>
      <c r="F73" s="7"/>
      <c r="G73" s="7"/>
      <c r="H73" s="7"/>
      <c r="I73" s="7"/>
      <c r="J73" s="7"/>
      <c r="K73" s="23"/>
      <c r="L73" s="23"/>
    </row>
    <row r="74" spans="1:12" ht="21.6" customHeight="1" x14ac:dyDescent="0.2">
      <c r="A74" s="7"/>
      <c r="B74" s="7"/>
      <c r="C74" s="7"/>
      <c r="D74" s="7"/>
      <c r="E74" s="7"/>
      <c r="F74" s="7"/>
      <c r="G74" s="7"/>
      <c r="H74" s="7"/>
      <c r="I74" s="7"/>
      <c r="J74" s="7"/>
      <c r="K74" s="23"/>
      <c r="L74" s="23"/>
    </row>
    <row r="75" spans="1:12" ht="21.6" customHeight="1" x14ac:dyDescent="0.2">
      <c r="A75" s="7"/>
      <c r="B75" s="7"/>
      <c r="C75" s="7"/>
      <c r="D75" s="7"/>
      <c r="E75" s="7"/>
      <c r="F75" s="7"/>
      <c r="G75" s="7"/>
      <c r="H75" s="7"/>
      <c r="I75" s="7"/>
      <c r="J75" s="7"/>
      <c r="K75" s="23"/>
      <c r="L75" s="23"/>
    </row>
    <row r="76" spans="1:12" ht="21.6" customHeight="1" x14ac:dyDescent="0.2">
      <c r="A76" s="7"/>
      <c r="B76" s="7"/>
      <c r="C76" s="7"/>
      <c r="D76" s="7"/>
      <c r="E76" s="7"/>
      <c r="F76" s="7"/>
      <c r="G76" s="7"/>
      <c r="H76" s="7"/>
      <c r="I76" s="7"/>
      <c r="J76" s="7"/>
      <c r="K76" s="23"/>
      <c r="L76" s="23"/>
    </row>
    <row r="77" spans="1:12" ht="21.6" customHeight="1" x14ac:dyDescent="0.2">
      <c r="A77" s="7"/>
      <c r="B77" s="7"/>
      <c r="C77" s="7"/>
      <c r="D77" s="7"/>
      <c r="E77" s="7"/>
      <c r="F77" s="7"/>
      <c r="G77" s="7"/>
      <c r="H77" s="7"/>
      <c r="I77" s="7"/>
      <c r="J77" s="7"/>
      <c r="K77" s="23"/>
      <c r="L77" s="23"/>
    </row>
    <row r="78" spans="1:12" ht="21.6" customHeight="1" x14ac:dyDescent="0.2">
      <c r="A78" s="7"/>
      <c r="B78" s="7"/>
      <c r="C78" s="7"/>
      <c r="D78" s="7"/>
      <c r="E78" s="7"/>
      <c r="F78" s="7"/>
      <c r="G78" s="7"/>
      <c r="H78" s="7"/>
      <c r="I78" s="7"/>
      <c r="J78" s="7"/>
      <c r="K78" s="23"/>
      <c r="L78" s="23"/>
    </row>
    <row r="79" spans="1:12" ht="21.6" customHeight="1" x14ac:dyDescent="0.2">
      <c r="A79" s="7"/>
      <c r="B79" s="7"/>
      <c r="C79" s="7"/>
      <c r="D79" s="7"/>
      <c r="E79" s="7"/>
      <c r="F79" s="7"/>
      <c r="G79" s="7"/>
      <c r="H79" s="7"/>
      <c r="I79" s="7"/>
      <c r="J79" s="7"/>
      <c r="K79" s="23"/>
      <c r="L79" s="23"/>
    </row>
    <row r="80" spans="1:12" ht="21.6" customHeight="1" x14ac:dyDescent="0.2">
      <c r="A80" s="7"/>
      <c r="B80" s="7"/>
      <c r="C80" s="7"/>
      <c r="D80" s="7"/>
      <c r="E80" s="7"/>
      <c r="F80" s="7"/>
      <c r="G80" s="7"/>
      <c r="H80" s="7"/>
      <c r="I80" s="7"/>
      <c r="J80" s="7"/>
      <c r="K80" s="23"/>
      <c r="L80" s="23"/>
    </row>
    <row r="81" spans="1:12" ht="21.6" customHeight="1" x14ac:dyDescent="0.2">
      <c r="A81" s="7"/>
      <c r="B81" s="7"/>
      <c r="C81" s="7"/>
      <c r="D81" s="7"/>
      <c r="E81" s="7"/>
      <c r="F81" s="7"/>
      <c r="G81" s="7"/>
      <c r="H81" s="7"/>
      <c r="I81" s="7"/>
      <c r="J81" s="7"/>
      <c r="K81" s="23"/>
      <c r="L81" s="23"/>
    </row>
    <row r="82" spans="1:12" ht="21.6" customHeight="1" x14ac:dyDescent="0.2">
      <c r="A82" s="7"/>
      <c r="B82" s="7"/>
      <c r="C82" s="7"/>
      <c r="D82" s="7"/>
      <c r="E82" s="7"/>
      <c r="F82" s="7"/>
      <c r="G82" s="7"/>
      <c r="H82" s="7"/>
      <c r="I82" s="7"/>
      <c r="J82" s="7"/>
      <c r="K82" s="23"/>
      <c r="L82" s="23"/>
    </row>
    <row r="83" spans="1:12" ht="21.6" customHeight="1" x14ac:dyDescent="0.2">
      <c r="A83" s="7"/>
      <c r="B83" s="7"/>
      <c r="C83" s="7"/>
      <c r="D83" s="7"/>
      <c r="E83" s="7"/>
      <c r="F83" s="7"/>
      <c r="G83" s="7"/>
      <c r="H83" s="7"/>
      <c r="I83" s="7"/>
      <c r="J83" s="7"/>
      <c r="K83" s="23"/>
      <c r="L83" s="23"/>
    </row>
    <row r="84" spans="1:12" ht="21.6" customHeight="1" x14ac:dyDescent="0.2">
      <c r="A84" s="7"/>
      <c r="B84" s="7"/>
      <c r="C84" s="7"/>
      <c r="D84" s="7"/>
      <c r="E84" s="7"/>
      <c r="F84" s="7"/>
      <c r="G84" s="7"/>
      <c r="H84" s="7"/>
      <c r="I84" s="7"/>
      <c r="J84" s="7"/>
      <c r="K84" s="23"/>
      <c r="L84" s="23"/>
    </row>
    <row r="85" spans="1:12" ht="21.6" customHeight="1" x14ac:dyDescent="0.2">
      <c r="A85" s="7"/>
      <c r="B85" s="7"/>
      <c r="C85" s="7"/>
      <c r="D85" s="7"/>
      <c r="E85" s="7"/>
      <c r="F85" s="7"/>
      <c r="G85" s="7"/>
      <c r="H85" s="7"/>
      <c r="I85" s="7"/>
      <c r="J85" s="7"/>
      <c r="K85" s="23"/>
      <c r="L85" s="23"/>
    </row>
    <row r="86" spans="1:12" ht="21.6" customHeight="1" x14ac:dyDescent="0.2">
      <c r="A86" s="7"/>
      <c r="B86" s="7"/>
      <c r="C86" s="7"/>
      <c r="D86" s="7"/>
      <c r="E86" s="7"/>
      <c r="F86" s="7"/>
      <c r="G86" s="7"/>
      <c r="H86" s="7"/>
      <c r="I86" s="7"/>
      <c r="J86" s="7"/>
      <c r="K86" s="23"/>
      <c r="L86" s="23"/>
    </row>
    <row r="87" spans="1:12" ht="21.6" customHeight="1" x14ac:dyDescent="0.2">
      <c r="A87" s="7"/>
      <c r="B87" s="7"/>
      <c r="C87" s="7"/>
      <c r="D87" s="7"/>
      <c r="E87" s="7"/>
      <c r="F87" s="7"/>
      <c r="G87" s="7"/>
      <c r="H87" s="7"/>
      <c r="I87" s="7"/>
      <c r="J87" s="7"/>
      <c r="K87" s="23"/>
      <c r="L87" s="23"/>
    </row>
    <row r="88" spans="1:12" ht="21.6" customHeight="1" x14ac:dyDescent="0.2">
      <c r="A88" s="7"/>
      <c r="B88" s="7"/>
      <c r="C88" s="7"/>
      <c r="D88" s="7"/>
      <c r="E88" s="7"/>
      <c r="F88" s="7"/>
      <c r="G88" s="7"/>
      <c r="H88" s="7"/>
      <c r="I88" s="7"/>
      <c r="J88" s="7"/>
      <c r="K88" s="23"/>
      <c r="L88" s="23"/>
    </row>
    <row r="89" spans="1:12" ht="21.6" customHeight="1" x14ac:dyDescent="0.2">
      <c r="A89" s="7"/>
      <c r="B89" s="7"/>
      <c r="C89" s="7"/>
      <c r="D89" s="7"/>
      <c r="E89" s="7"/>
      <c r="F89" s="7"/>
      <c r="G89" s="7"/>
      <c r="H89" s="7"/>
      <c r="I89" s="7"/>
      <c r="J89" s="7"/>
      <c r="K89" s="23"/>
      <c r="L89" s="23"/>
    </row>
    <row r="90" spans="1:12" ht="21.6" customHeight="1" x14ac:dyDescent="0.2">
      <c r="A90" s="7"/>
      <c r="B90" s="7"/>
      <c r="C90" s="7"/>
      <c r="D90" s="7"/>
      <c r="E90" s="7"/>
      <c r="F90" s="7"/>
      <c r="G90" s="7"/>
      <c r="H90" s="7"/>
      <c r="I90" s="7"/>
      <c r="J90" s="7"/>
      <c r="K90" s="23"/>
      <c r="L90" s="23"/>
    </row>
    <row r="91" spans="1:12" ht="21.6" customHeight="1" x14ac:dyDescent="0.2">
      <c r="A91" s="7"/>
      <c r="B91" s="7"/>
      <c r="C91" s="7"/>
      <c r="D91" s="7"/>
      <c r="E91" s="7"/>
      <c r="F91" s="7"/>
      <c r="G91" s="7"/>
      <c r="H91" s="7"/>
      <c r="I91" s="7"/>
      <c r="J91" s="7"/>
      <c r="K91" s="23"/>
      <c r="L91" s="23"/>
    </row>
    <row r="92" spans="1:12" ht="21.6" customHeight="1" x14ac:dyDescent="0.2">
      <c r="A92" s="7"/>
      <c r="B92" s="7"/>
      <c r="C92" s="7"/>
      <c r="D92" s="7"/>
      <c r="E92" s="7"/>
      <c r="F92" s="7"/>
      <c r="G92" s="7"/>
      <c r="H92" s="7"/>
      <c r="I92" s="7"/>
      <c r="J92" s="7"/>
      <c r="K92" s="23"/>
      <c r="L92" s="23"/>
    </row>
    <row r="93" spans="1:12" ht="21.6" customHeight="1" x14ac:dyDescent="0.2">
      <c r="A93" s="7"/>
      <c r="B93" s="7"/>
      <c r="C93" s="7"/>
      <c r="D93" s="7"/>
      <c r="E93" s="7"/>
      <c r="F93" s="7"/>
      <c r="G93" s="7"/>
      <c r="H93" s="7"/>
      <c r="I93" s="7"/>
      <c r="J93" s="7"/>
      <c r="K93" s="23"/>
      <c r="L93" s="23"/>
    </row>
    <row r="94" spans="1:12" ht="21.6" customHeight="1" x14ac:dyDescent="0.2">
      <c r="A94" s="7"/>
      <c r="B94" s="7"/>
      <c r="C94" s="7"/>
      <c r="D94" s="7"/>
      <c r="E94" s="7"/>
      <c r="F94" s="7"/>
      <c r="G94" s="7"/>
      <c r="H94" s="7"/>
      <c r="I94" s="7"/>
      <c r="J94" s="7"/>
      <c r="K94" s="23"/>
      <c r="L94" s="23"/>
    </row>
    <row r="95" spans="1:12" ht="21.6" customHeight="1" x14ac:dyDescent="0.2">
      <c r="A95" s="7"/>
      <c r="B95" s="7"/>
      <c r="C95" s="7"/>
      <c r="D95" s="7"/>
      <c r="E95" s="7"/>
      <c r="F95" s="7"/>
      <c r="G95" s="7"/>
      <c r="H95" s="7"/>
      <c r="I95" s="7"/>
      <c r="J95" s="7"/>
      <c r="K95" s="23"/>
      <c r="L95" s="23"/>
    </row>
    <row r="96" spans="1:12" ht="21.6" customHeight="1" x14ac:dyDescent="0.2">
      <c r="A96" s="7"/>
      <c r="B96" s="7"/>
      <c r="C96" s="7"/>
      <c r="D96" s="7"/>
      <c r="E96" s="7"/>
      <c r="F96" s="7"/>
      <c r="G96" s="7"/>
      <c r="H96" s="7"/>
      <c r="I96" s="7"/>
      <c r="J96" s="7"/>
      <c r="K96" s="23"/>
      <c r="L96" s="23"/>
    </row>
    <row r="97" spans="1:12" ht="21.6" customHeight="1" x14ac:dyDescent="0.2">
      <c r="A97" s="7"/>
      <c r="B97" s="7"/>
      <c r="C97" s="7"/>
      <c r="D97" s="7"/>
      <c r="E97" s="7"/>
      <c r="F97" s="7"/>
      <c r="G97" s="7"/>
      <c r="H97" s="7"/>
      <c r="I97" s="7"/>
      <c r="J97" s="7"/>
      <c r="K97" s="23"/>
      <c r="L97" s="23"/>
    </row>
    <row r="98" spans="1:12" ht="21.6" customHeight="1" x14ac:dyDescent="0.2">
      <c r="A98" s="7"/>
      <c r="B98" s="7"/>
      <c r="C98" s="7"/>
      <c r="D98" s="7"/>
      <c r="E98" s="7"/>
      <c r="F98" s="7"/>
      <c r="G98" s="7"/>
      <c r="H98" s="7"/>
      <c r="I98" s="7"/>
      <c r="J98" s="7"/>
      <c r="K98" s="23"/>
      <c r="L98" s="23"/>
    </row>
    <row r="99" spans="1:12" ht="21.6" customHeight="1" x14ac:dyDescent="0.2">
      <c r="A99" s="7"/>
      <c r="B99" s="7"/>
      <c r="C99" s="7"/>
      <c r="D99" s="7"/>
      <c r="E99" s="7"/>
      <c r="F99" s="7"/>
      <c r="G99" s="7"/>
      <c r="H99" s="7"/>
      <c r="I99" s="7"/>
      <c r="J99" s="7"/>
      <c r="K99" s="23"/>
      <c r="L99" s="23"/>
    </row>
    <row r="100" spans="1:12" ht="21.6" customHeight="1" x14ac:dyDescent="0.2">
      <c r="A100" s="7"/>
      <c r="B100" s="7"/>
      <c r="C100" s="7"/>
      <c r="D100" s="7"/>
      <c r="E100" s="7"/>
      <c r="F100" s="7"/>
      <c r="G100" s="7"/>
      <c r="H100" s="7"/>
      <c r="I100" s="7"/>
      <c r="J100" s="7"/>
      <c r="K100" s="23"/>
      <c r="L100" s="23"/>
    </row>
    <row r="101" spans="1:12" ht="21.6" customHeight="1" x14ac:dyDescent="0.2">
      <c r="A101" s="7"/>
      <c r="B101" s="7"/>
      <c r="C101" s="7"/>
      <c r="D101" s="7"/>
      <c r="E101" s="7"/>
      <c r="F101" s="7"/>
      <c r="G101" s="7"/>
      <c r="H101" s="7"/>
      <c r="I101" s="7"/>
      <c r="J101" s="7"/>
      <c r="K101" s="23"/>
      <c r="L101" s="23"/>
    </row>
    <row r="102" spans="1:12" ht="21.6" customHeight="1" x14ac:dyDescent="0.2">
      <c r="A102" s="7"/>
      <c r="B102" s="7"/>
      <c r="C102" s="7"/>
      <c r="D102" s="7"/>
      <c r="E102" s="7"/>
      <c r="F102" s="7"/>
      <c r="G102" s="7"/>
      <c r="H102" s="7"/>
      <c r="I102" s="7"/>
      <c r="J102" s="7"/>
      <c r="K102" s="23"/>
      <c r="L102" s="23"/>
    </row>
    <row r="103" spans="1:12" ht="21.6" customHeight="1" x14ac:dyDescent="0.2">
      <c r="A103" s="7"/>
      <c r="B103" s="7"/>
      <c r="C103" s="7"/>
      <c r="D103" s="7"/>
      <c r="E103" s="7"/>
      <c r="F103" s="7"/>
      <c r="G103" s="7"/>
      <c r="H103" s="7"/>
      <c r="I103" s="7"/>
      <c r="J103" s="7"/>
      <c r="K103" s="23"/>
      <c r="L103" s="23"/>
    </row>
    <row r="104" spans="1:12" ht="21.6" customHeight="1" x14ac:dyDescent="0.2">
      <c r="A104" s="7"/>
      <c r="B104" s="7"/>
      <c r="C104" s="7"/>
      <c r="D104" s="7"/>
      <c r="E104" s="7"/>
      <c r="F104" s="7"/>
      <c r="G104" s="7"/>
      <c r="H104" s="7"/>
      <c r="I104" s="7"/>
      <c r="J104" s="7"/>
      <c r="K104" s="23"/>
      <c r="L104" s="23"/>
    </row>
    <row r="105" spans="1:12" ht="21.6" customHeight="1" x14ac:dyDescent="0.2">
      <c r="A105" s="7"/>
      <c r="B105" s="7"/>
      <c r="C105" s="7"/>
      <c r="D105" s="7"/>
      <c r="E105" s="7"/>
      <c r="F105" s="7"/>
      <c r="G105" s="7"/>
      <c r="H105" s="7"/>
      <c r="I105" s="7"/>
      <c r="J105" s="7"/>
      <c r="K105" s="23"/>
      <c r="L105" s="23"/>
    </row>
    <row r="106" spans="1:12" ht="21.6" customHeight="1" x14ac:dyDescent="0.2">
      <c r="A106" s="7"/>
      <c r="B106" s="7"/>
      <c r="C106" s="7"/>
      <c r="D106" s="7"/>
      <c r="E106" s="7"/>
      <c r="F106" s="7"/>
      <c r="G106" s="7"/>
      <c r="H106" s="7"/>
      <c r="I106" s="7"/>
      <c r="J106" s="7"/>
      <c r="K106" s="23"/>
      <c r="L106" s="23"/>
    </row>
    <row r="107" spans="1:12" ht="21.6" customHeight="1" x14ac:dyDescent="0.2">
      <c r="A107" s="7"/>
      <c r="B107" s="7"/>
      <c r="C107" s="7"/>
      <c r="D107" s="7"/>
      <c r="E107" s="7"/>
      <c r="F107" s="7"/>
      <c r="G107" s="7"/>
      <c r="H107" s="7"/>
      <c r="I107" s="7"/>
      <c r="J107" s="7"/>
      <c r="K107" s="23"/>
      <c r="L107" s="23"/>
    </row>
    <row r="108" spans="1:12" ht="21.6" customHeight="1" x14ac:dyDescent="0.2">
      <c r="A108" s="7"/>
      <c r="B108" s="7"/>
      <c r="C108" s="7"/>
      <c r="D108" s="7"/>
      <c r="E108" s="7"/>
      <c r="F108" s="7"/>
      <c r="G108" s="7"/>
      <c r="H108" s="7"/>
      <c r="I108" s="7"/>
      <c r="J108" s="7"/>
      <c r="K108" s="23"/>
      <c r="L108" s="23"/>
    </row>
    <row r="109" spans="1:12" ht="21.6" customHeight="1" x14ac:dyDescent="0.2">
      <c r="A109" s="7"/>
      <c r="B109" s="7"/>
      <c r="C109" s="7"/>
      <c r="D109" s="7"/>
      <c r="E109" s="7"/>
      <c r="F109" s="7"/>
      <c r="G109" s="7"/>
      <c r="H109" s="7"/>
      <c r="I109" s="7"/>
      <c r="J109" s="7"/>
      <c r="K109" s="23"/>
      <c r="L109" s="23"/>
    </row>
    <row r="110" spans="1:12" ht="21.6" customHeight="1" x14ac:dyDescent="0.2">
      <c r="A110" s="7"/>
      <c r="B110" s="7"/>
      <c r="C110" s="7"/>
      <c r="D110" s="7"/>
      <c r="E110" s="7"/>
      <c r="F110" s="7"/>
      <c r="G110" s="7"/>
      <c r="H110" s="7"/>
      <c r="I110" s="7"/>
      <c r="J110" s="7"/>
      <c r="K110" s="23"/>
      <c r="L110" s="23"/>
    </row>
    <row r="111" spans="1:12" ht="21.6" customHeight="1" x14ac:dyDescent="0.2">
      <c r="A111" s="7"/>
      <c r="B111" s="7"/>
      <c r="C111" s="7"/>
      <c r="D111" s="7"/>
      <c r="E111" s="7"/>
      <c r="F111" s="7"/>
      <c r="G111" s="7"/>
      <c r="H111" s="7"/>
      <c r="K111" s="23"/>
      <c r="L111" s="23"/>
    </row>
    <row r="112" spans="1:12" ht="21.6" customHeight="1" x14ac:dyDescent="0.2">
      <c r="A112" s="7"/>
      <c r="B112" s="7"/>
      <c r="C112" s="7"/>
      <c r="D112" s="7"/>
      <c r="E112" s="7"/>
      <c r="F112" s="7"/>
      <c r="G112" s="7"/>
      <c r="H112" s="7"/>
      <c r="I112" s="23"/>
      <c r="J112" s="23"/>
      <c r="K112" s="23"/>
      <c r="L112" s="23"/>
    </row>
    <row r="113" spans="1:12" ht="31.7" customHeight="1" x14ac:dyDescent="0.2">
      <c r="A113" s="7"/>
      <c r="I113" s="23"/>
      <c r="J113" s="23"/>
      <c r="K113" s="23"/>
      <c r="L113" s="23"/>
    </row>
    <row r="114" spans="1:12" ht="66.599999999999994" customHeight="1" x14ac:dyDescent="0.2">
      <c r="A114" s="23"/>
      <c r="B114" s="23"/>
      <c r="C114" s="23"/>
      <c r="D114" s="23"/>
      <c r="E114" s="23"/>
      <c r="F114" s="23"/>
      <c r="G114" s="23"/>
      <c r="H114" s="23"/>
      <c r="I114" s="23"/>
      <c r="J114" s="23"/>
      <c r="K114" s="23"/>
      <c r="L114" s="23"/>
    </row>
    <row r="115" spans="1:12" ht="31.7" customHeight="1" x14ac:dyDescent="0.2">
      <c r="A115" s="7"/>
      <c r="B115" s="7"/>
      <c r="C115" s="7"/>
      <c r="D115" s="7"/>
      <c r="G115" s="23"/>
      <c r="H115" s="23"/>
      <c r="I115" s="23"/>
      <c r="J115" s="23"/>
      <c r="K115" s="23"/>
      <c r="L115" s="23"/>
    </row>
    <row r="116" spans="1:12" ht="21.6" customHeight="1" x14ac:dyDescent="0.2">
      <c r="A116" s="7"/>
      <c r="B116" s="7"/>
      <c r="C116" s="7"/>
      <c r="D116" s="7"/>
      <c r="G116" s="23"/>
      <c r="H116" s="23"/>
      <c r="I116" s="23"/>
      <c r="J116" s="23"/>
      <c r="K116" s="23"/>
      <c r="L116" s="23"/>
    </row>
    <row r="117" spans="1:12" ht="21.6" customHeight="1" x14ac:dyDescent="0.2">
      <c r="A117" s="7"/>
      <c r="B117" s="7"/>
      <c r="C117" s="7"/>
      <c r="D117" s="7"/>
      <c r="G117" s="23"/>
      <c r="H117" s="23"/>
      <c r="I117" s="23"/>
      <c r="J117" s="23"/>
      <c r="K117" s="23"/>
      <c r="L117" s="23"/>
    </row>
    <row r="118" spans="1:12" ht="21.6" customHeight="1" x14ac:dyDescent="0.2">
      <c r="A118" s="7"/>
      <c r="B118" s="7"/>
      <c r="C118" s="7"/>
      <c r="D118" s="7"/>
      <c r="G118" s="23"/>
      <c r="H118" s="23"/>
      <c r="I118" s="23"/>
      <c r="J118" s="23"/>
      <c r="K118" s="23"/>
      <c r="L118" s="23"/>
    </row>
    <row r="119" spans="1:12" ht="21.6" customHeight="1" x14ac:dyDescent="0.25">
      <c r="A119" s="7"/>
      <c r="B119" s="7"/>
      <c r="C119" s="7"/>
      <c r="D119" s="7"/>
      <c r="G119" s="23"/>
      <c r="H119" s="23"/>
      <c r="I119" s="294"/>
      <c r="J119" s="294"/>
      <c r="K119" s="23"/>
      <c r="L119" s="23"/>
    </row>
    <row r="120" spans="1:12" ht="21.6" customHeight="1" x14ac:dyDescent="0.2">
      <c r="A120" s="7"/>
      <c r="B120" s="7"/>
      <c r="C120" s="7"/>
      <c r="D120" s="7"/>
      <c r="G120" s="23"/>
      <c r="H120" s="23"/>
      <c r="I120" s="23"/>
      <c r="J120" s="23"/>
      <c r="K120" s="23"/>
      <c r="L120" s="23"/>
    </row>
    <row r="121" spans="1:12" ht="84.2" customHeight="1" x14ac:dyDescent="0.25">
      <c r="A121" s="7"/>
      <c r="G121" s="294"/>
      <c r="H121" s="294"/>
      <c r="I121" s="23"/>
      <c r="J121" s="23"/>
      <c r="K121" s="23"/>
      <c r="L121" s="23"/>
    </row>
    <row r="122" spans="1:12" ht="66.599999999999994" customHeight="1" x14ac:dyDescent="0.25">
      <c r="A122" s="23"/>
      <c r="B122" s="23"/>
      <c r="C122" s="23"/>
      <c r="D122" s="23"/>
      <c r="E122" s="23"/>
      <c r="F122" s="23"/>
      <c r="G122" s="23"/>
      <c r="H122" s="23"/>
      <c r="I122" s="294"/>
      <c r="J122" s="294"/>
      <c r="K122" s="294"/>
      <c r="L122" s="294"/>
    </row>
    <row r="123" spans="1:12" ht="60" customHeight="1" x14ac:dyDescent="0.2">
      <c r="A123" s="7"/>
      <c r="B123" s="7"/>
      <c r="C123" s="7"/>
      <c r="D123" s="7"/>
      <c r="E123" s="7"/>
      <c r="F123" s="7"/>
      <c r="G123" s="23"/>
      <c r="H123" s="23"/>
      <c r="I123" s="23"/>
      <c r="J123" s="23"/>
      <c r="K123" s="23"/>
      <c r="L123" s="23"/>
    </row>
    <row r="124" spans="1:12" ht="33.200000000000003" customHeight="1" x14ac:dyDescent="0.25">
      <c r="A124" s="7"/>
      <c r="B124" s="7"/>
      <c r="C124" s="7"/>
      <c r="D124" s="7"/>
      <c r="E124" s="7"/>
      <c r="F124" s="7"/>
      <c r="G124" s="23"/>
      <c r="H124" s="294"/>
      <c r="I124" s="23"/>
      <c r="J124" s="23"/>
      <c r="K124" s="23"/>
      <c r="L124" s="23"/>
    </row>
    <row r="125" spans="1:12" ht="33.200000000000003" customHeight="1" x14ac:dyDescent="0.2">
      <c r="A125" s="7"/>
      <c r="B125" s="7"/>
      <c r="C125" s="7"/>
      <c r="D125" s="7"/>
      <c r="E125" s="7"/>
      <c r="F125" s="7"/>
      <c r="G125" s="23"/>
      <c r="H125" s="23"/>
      <c r="I125" s="23"/>
      <c r="J125" s="23"/>
      <c r="K125" s="23"/>
      <c r="L125" s="23"/>
    </row>
    <row r="126" spans="1:12" ht="33.200000000000003" customHeight="1" x14ac:dyDescent="0.25">
      <c r="A126" s="7"/>
      <c r="B126" s="7"/>
      <c r="C126" s="7"/>
      <c r="D126" s="7"/>
      <c r="E126" s="7"/>
      <c r="F126" s="7"/>
      <c r="G126" s="23"/>
      <c r="H126" s="23"/>
      <c r="I126" s="295"/>
      <c r="J126" s="295"/>
      <c r="K126" s="23"/>
      <c r="L126" s="23"/>
    </row>
    <row r="127" spans="1:12" ht="66.599999999999994" customHeight="1" x14ac:dyDescent="0.2">
      <c r="A127" s="7"/>
      <c r="G127" s="23"/>
      <c r="H127" s="23"/>
      <c r="I127" s="7"/>
      <c r="J127" s="7"/>
      <c r="K127" s="23"/>
      <c r="L127" s="23"/>
    </row>
    <row r="128" spans="1:12" ht="66.599999999999994" customHeight="1" x14ac:dyDescent="0.25">
      <c r="A128" s="296"/>
      <c r="B128" s="294"/>
      <c r="C128" s="295"/>
      <c r="D128" s="295"/>
      <c r="E128" s="295"/>
      <c r="F128" s="295"/>
      <c r="G128" s="295"/>
      <c r="H128" s="295"/>
      <c r="I128" s="7"/>
      <c r="J128" s="7"/>
      <c r="K128" s="23"/>
      <c r="L128" s="23"/>
    </row>
    <row r="129" spans="1:12" ht="32.450000000000003" customHeight="1" x14ac:dyDescent="0.2">
      <c r="A129" s="7"/>
      <c r="B129" s="7"/>
      <c r="C129" s="7"/>
      <c r="D129" s="7"/>
      <c r="E129" s="7"/>
      <c r="F129" s="7"/>
      <c r="G129" s="7"/>
      <c r="H129" s="7"/>
      <c r="I129" s="7"/>
      <c r="J129" s="7"/>
      <c r="K129" s="23"/>
      <c r="L129" s="23"/>
    </row>
    <row r="130" spans="1:12" ht="21.6" customHeight="1" x14ac:dyDescent="0.2">
      <c r="A130" s="7"/>
      <c r="B130" s="7"/>
      <c r="C130" s="7"/>
      <c r="D130" s="7"/>
      <c r="E130" s="7"/>
      <c r="F130" s="7"/>
      <c r="G130" s="7"/>
      <c r="H130" s="7"/>
      <c r="I130" s="7"/>
      <c r="J130" s="7"/>
      <c r="K130" s="23"/>
      <c r="L130" s="23"/>
    </row>
    <row r="131" spans="1:12" ht="21.6" customHeight="1" x14ac:dyDescent="0.2">
      <c r="A131" s="7"/>
      <c r="B131" s="7"/>
      <c r="C131" s="7"/>
      <c r="D131" s="7"/>
      <c r="E131" s="7"/>
      <c r="F131" s="7"/>
      <c r="G131" s="7"/>
      <c r="H131" s="7"/>
      <c r="I131" s="7"/>
      <c r="J131" s="7"/>
      <c r="K131" s="23"/>
      <c r="L131" s="23"/>
    </row>
    <row r="132" spans="1:12" ht="21.6" customHeight="1" x14ac:dyDescent="0.2">
      <c r="A132" s="7"/>
      <c r="B132" s="7"/>
      <c r="C132" s="7"/>
      <c r="D132" s="7"/>
      <c r="E132" s="7"/>
      <c r="F132" s="7"/>
      <c r="G132" s="7"/>
      <c r="H132" s="7"/>
      <c r="I132" s="7"/>
      <c r="J132" s="7"/>
      <c r="K132" s="23"/>
      <c r="L132" s="23"/>
    </row>
    <row r="133" spans="1:12" ht="21.6" customHeight="1" x14ac:dyDescent="0.2">
      <c r="A133" s="7"/>
      <c r="B133" s="7"/>
      <c r="C133" s="7"/>
      <c r="D133" s="7"/>
      <c r="E133" s="7"/>
      <c r="F133" s="7"/>
      <c r="G133" s="7"/>
      <c r="H133" s="7"/>
      <c r="I133" s="7"/>
      <c r="J133" s="7"/>
      <c r="K133" s="23"/>
      <c r="L133" s="23"/>
    </row>
    <row r="134" spans="1:12" ht="21.6" customHeight="1" x14ac:dyDescent="0.2">
      <c r="A134" s="7"/>
      <c r="B134" s="7"/>
      <c r="C134" s="7"/>
      <c r="D134" s="7"/>
      <c r="E134" s="7"/>
      <c r="F134" s="7"/>
      <c r="G134" s="7"/>
      <c r="H134" s="7"/>
      <c r="I134" s="7"/>
      <c r="J134" s="7"/>
      <c r="K134" s="23"/>
      <c r="L134" s="23"/>
    </row>
    <row r="135" spans="1:12" ht="21.6" customHeight="1" x14ac:dyDescent="0.2">
      <c r="A135" s="7"/>
      <c r="B135" s="7"/>
      <c r="C135" s="7"/>
      <c r="D135" s="7"/>
      <c r="E135" s="7"/>
      <c r="F135" s="7"/>
      <c r="G135" s="7"/>
      <c r="H135" s="7"/>
      <c r="I135" s="7"/>
      <c r="J135" s="7"/>
      <c r="K135" s="23"/>
      <c r="L135" s="23"/>
    </row>
    <row r="136" spans="1:12" ht="21.6" customHeight="1" x14ac:dyDescent="0.2">
      <c r="A136" s="7"/>
      <c r="B136" s="7"/>
      <c r="C136" s="7"/>
      <c r="D136" s="7"/>
      <c r="E136" s="7"/>
      <c r="F136" s="7"/>
      <c r="G136" s="7"/>
      <c r="H136" s="7"/>
      <c r="I136" s="7"/>
      <c r="J136" s="7"/>
      <c r="K136" s="23"/>
      <c r="L136" s="23"/>
    </row>
    <row r="137" spans="1:12" ht="21.6" customHeight="1" x14ac:dyDescent="0.2">
      <c r="A137" s="7"/>
      <c r="B137" s="7"/>
      <c r="C137" s="7"/>
      <c r="D137" s="7"/>
      <c r="E137" s="7"/>
      <c r="F137" s="7"/>
      <c r="G137" s="7"/>
      <c r="H137" s="7"/>
      <c r="I137" s="7"/>
      <c r="J137" s="7"/>
      <c r="K137" s="23"/>
      <c r="L137" s="23"/>
    </row>
    <row r="138" spans="1:12" ht="21.6" customHeight="1" x14ac:dyDescent="0.2">
      <c r="A138" s="7"/>
      <c r="B138" s="7"/>
      <c r="C138" s="7"/>
      <c r="D138" s="7"/>
      <c r="E138" s="7"/>
      <c r="F138" s="7"/>
      <c r="G138" s="7"/>
      <c r="H138" s="7"/>
      <c r="I138" s="7"/>
      <c r="J138" s="7"/>
      <c r="K138" s="23"/>
      <c r="L138" s="23"/>
    </row>
    <row r="139" spans="1:12" ht="21.6" customHeight="1" x14ac:dyDescent="0.2">
      <c r="A139" s="7"/>
      <c r="B139" s="7"/>
      <c r="C139" s="7"/>
      <c r="D139" s="7"/>
      <c r="E139" s="7"/>
      <c r="F139" s="7"/>
      <c r="G139" s="7"/>
      <c r="H139" s="7"/>
      <c r="I139" s="7"/>
      <c r="J139" s="7"/>
      <c r="K139" s="23"/>
      <c r="L139" s="23"/>
    </row>
    <row r="140" spans="1:12" ht="21.6" customHeight="1" x14ac:dyDescent="0.2">
      <c r="A140" s="7"/>
      <c r="B140" s="7"/>
      <c r="C140" s="7"/>
      <c r="D140" s="7"/>
      <c r="E140" s="7"/>
      <c r="F140" s="7"/>
      <c r="G140" s="7"/>
      <c r="H140" s="7"/>
      <c r="I140" s="7"/>
      <c r="J140" s="7"/>
      <c r="K140" s="23"/>
      <c r="L140" s="23"/>
    </row>
    <row r="141" spans="1:12" ht="21.6" customHeight="1" x14ac:dyDescent="0.2">
      <c r="A141" s="7"/>
      <c r="B141" s="7"/>
      <c r="C141" s="7"/>
      <c r="D141" s="7"/>
      <c r="E141" s="7"/>
      <c r="F141" s="7"/>
      <c r="G141" s="7"/>
      <c r="H141" s="7"/>
      <c r="I141" s="7"/>
      <c r="J141" s="7"/>
      <c r="K141" s="23"/>
      <c r="L141" s="23"/>
    </row>
    <row r="142" spans="1:12" ht="21.6" customHeight="1" x14ac:dyDescent="0.2">
      <c r="A142" s="7"/>
      <c r="B142" s="7"/>
      <c r="C142" s="7"/>
      <c r="D142" s="7"/>
      <c r="E142" s="7"/>
      <c r="F142" s="7"/>
      <c r="G142" s="7"/>
      <c r="H142" s="7"/>
      <c r="I142" s="7"/>
      <c r="J142" s="7"/>
      <c r="K142" s="23"/>
      <c r="L142" s="23"/>
    </row>
    <row r="143" spans="1:12" ht="21.6" customHeight="1" x14ac:dyDescent="0.2">
      <c r="A143" s="7"/>
      <c r="B143" s="7"/>
      <c r="C143" s="7"/>
      <c r="D143" s="7"/>
      <c r="E143" s="7"/>
      <c r="F143" s="7"/>
      <c r="G143" s="7"/>
      <c r="H143" s="7"/>
      <c r="I143" s="7"/>
      <c r="J143" s="7"/>
      <c r="K143" s="23"/>
      <c r="L143" s="23"/>
    </row>
    <row r="144" spans="1:12" ht="21.6" customHeight="1" x14ac:dyDescent="0.2">
      <c r="A144" s="7"/>
      <c r="B144" s="7"/>
      <c r="C144" s="7"/>
      <c r="D144" s="7"/>
      <c r="E144" s="7"/>
      <c r="F144" s="7"/>
      <c r="G144" s="7"/>
      <c r="H144" s="7"/>
      <c r="I144" s="7"/>
      <c r="J144" s="7"/>
      <c r="K144" s="23"/>
      <c r="L144" s="23"/>
    </row>
    <row r="145" spans="1:12" ht="21.6" customHeight="1" x14ac:dyDescent="0.2">
      <c r="A145" s="7"/>
      <c r="B145" s="7"/>
      <c r="C145" s="7"/>
      <c r="D145" s="7"/>
      <c r="E145" s="7"/>
      <c r="F145" s="7"/>
      <c r="G145" s="7"/>
      <c r="H145" s="7"/>
      <c r="I145" s="7"/>
      <c r="J145" s="7"/>
      <c r="K145" s="23"/>
      <c r="L145" s="23"/>
    </row>
    <row r="146" spans="1:12" ht="21.6" customHeight="1" x14ac:dyDescent="0.2">
      <c r="A146" s="7"/>
      <c r="B146" s="7"/>
      <c r="C146" s="7"/>
      <c r="D146" s="7"/>
      <c r="E146" s="7"/>
      <c r="F146" s="7"/>
      <c r="G146" s="7"/>
      <c r="H146" s="7"/>
      <c r="I146" s="7"/>
      <c r="J146" s="7"/>
      <c r="K146" s="23"/>
      <c r="L146" s="23"/>
    </row>
    <row r="147" spans="1:12" ht="21.6" customHeight="1" x14ac:dyDescent="0.2">
      <c r="A147" s="7"/>
      <c r="B147" s="7"/>
      <c r="C147" s="7"/>
      <c r="D147" s="7"/>
      <c r="E147" s="7"/>
      <c r="F147" s="7"/>
      <c r="G147" s="7"/>
      <c r="H147" s="7"/>
      <c r="I147" s="7"/>
      <c r="J147" s="7"/>
      <c r="K147" s="23"/>
      <c r="L147" s="23"/>
    </row>
    <row r="148" spans="1:12" ht="21.6" customHeight="1" x14ac:dyDescent="0.2">
      <c r="A148" s="7"/>
      <c r="B148" s="7"/>
      <c r="C148" s="7"/>
      <c r="D148" s="7"/>
      <c r="E148" s="7"/>
      <c r="F148" s="7"/>
      <c r="G148" s="7"/>
      <c r="H148" s="7"/>
      <c r="I148" s="7"/>
      <c r="J148" s="7"/>
      <c r="K148" s="23"/>
      <c r="L148" s="23"/>
    </row>
    <row r="149" spans="1:12" ht="21.6" customHeight="1" x14ac:dyDescent="0.2">
      <c r="A149" s="7"/>
      <c r="B149" s="7"/>
      <c r="C149" s="7"/>
      <c r="D149" s="7"/>
      <c r="E149" s="7"/>
      <c r="F149" s="7"/>
      <c r="G149" s="7"/>
      <c r="H149" s="7"/>
      <c r="I149" s="7"/>
      <c r="J149" s="7"/>
      <c r="K149" s="23"/>
      <c r="L149" s="23"/>
    </row>
    <row r="150" spans="1:12" ht="21.6" customHeight="1" x14ac:dyDescent="0.2">
      <c r="A150" s="7"/>
      <c r="B150" s="7"/>
      <c r="C150" s="7"/>
      <c r="D150" s="7"/>
      <c r="E150" s="7"/>
      <c r="F150" s="7"/>
      <c r="G150" s="7"/>
      <c r="H150" s="7"/>
      <c r="I150" s="7"/>
      <c r="J150" s="7"/>
      <c r="K150" s="23"/>
      <c r="L150" s="23"/>
    </row>
    <row r="151" spans="1:12" ht="21.6" customHeight="1" x14ac:dyDescent="0.2">
      <c r="A151" s="7"/>
      <c r="B151" s="7"/>
      <c r="C151" s="7"/>
      <c r="D151" s="7"/>
      <c r="E151" s="7"/>
      <c r="F151" s="7"/>
      <c r="G151" s="7"/>
      <c r="H151" s="7"/>
      <c r="I151" s="7"/>
      <c r="J151" s="7"/>
      <c r="K151" s="23"/>
      <c r="L151" s="23"/>
    </row>
    <row r="152" spans="1:12" ht="21.6" customHeight="1" x14ac:dyDescent="0.2">
      <c r="A152" s="7"/>
      <c r="B152" s="7"/>
      <c r="C152" s="7"/>
      <c r="D152" s="7"/>
      <c r="E152" s="7"/>
      <c r="F152" s="7"/>
      <c r="G152" s="7"/>
      <c r="H152" s="7"/>
      <c r="I152" s="7"/>
      <c r="J152" s="7"/>
      <c r="K152" s="23"/>
      <c r="L152" s="23"/>
    </row>
    <row r="153" spans="1:12" ht="21.6" customHeight="1" x14ac:dyDescent="0.2">
      <c r="A153" s="7"/>
      <c r="B153" s="7"/>
      <c r="C153" s="7"/>
      <c r="D153" s="7"/>
      <c r="E153" s="7"/>
      <c r="F153" s="7"/>
      <c r="G153" s="7"/>
      <c r="H153" s="7"/>
      <c r="I153" s="7"/>
      <c r="J153" s="7"/>
      <c r="K153" s="23"/>
      <c r="L153" s="23"/>
    </row>
    <row r="154" spans="1:12" ht="21.6" customHeight="1" x14ac:dyDescent="0.2">
      <c r="A154" s="7"/>
      <c r="B154" s="7"/>
      <c r="C154" s="7"/>
      <c r="D154" s="7"/>
      <c r="E154" s="7"/>
      <c r="F154" s="7"/>
      <c r="G154" s="7"/>
      <c r="H154" s="7"/>
      <c r="I154" s="7"/>
      <c r="J154" s="7"/>
      <c r="K154" s="23"/>
      <c r="L154" s="23"/>
    </row>
    <row r="155" spans="1:12" ht="21.6" customHeight="1" x14ac:dyDescent="0.2">
      <c r="A155" s="7"/>
      <c r="B155" s="7"/>
      <c r="C155" s="7"/>
      <c r="D155" s="7"/>
      <c r="E155" s="7"/>
      <c r="F155" s="7"/>
      <c r="G155" s="7"/>
      <c r="H155" s="7"/>
      <c r="I155" s="7"/>
      <c r="J155" s="7"/>
      <c r="K155" s="23"/>
      <c r="L155" s="23"/>
    </row>
    <row r="156" spans="1:12" ht="21.6" customHeight="1" x14ac:dyDescent="0.2">
      <c r="A156" s="7"/>
      <c r="B156" s="7"/>
      <c r="C156" s="7"/>
      <c r="D156" s="7"/>
      <c r="E156" s="7"/>
      <c r="F156" s="7"/>
      <c r="G156" s="7"/>
      <c r="H156" s="7"/>
      <c r="I156" s="7"/>
      <c r="J156" s="7"/>
      <c r="K156" s="23"/>
      <c r="L156" s="23"/>
    </row>
    <row r="157" spans="1:12" ht="21.6" customHeight="1" x14ac:dyDescent="0.2">
      <c r="A157" s="7"/>
      <c r="B157" s="7"/>
      <c r="C157" s="7"/>
      <c r="D157" s="7"/>
      <c r="E157" s="7"/>
      <c r="F157" s="7"/>
      <c r="G157" s="7"/>
      <c r="H157" s="7"/>
      <c r="I157" s="7"/>
      <c r="J157" s="7"/>
      <c r="K157" s="23"/>
      <c r="L157" s="23"/>
    </row>
    <row r="158" spans="1:12" ht="21.6" customHeight="1" x14ac:dyDescent="0.2">
      <c r="A158" s="7"/>
      <c r="B158" s="7"/>
      <c r="C158" s="7"/>
      <c r="D158" s="7"/>
      <c r="E158" s="7"/>
      <c r="F158" s="7"/>
      <c r="G158" s="7"/>
      <c r="H158" s="7"/>
      <c r="I158" s="7"/>
      <c r="J158" s="7"/>
      <c r="K158" s="23"/>
      <c r="L158" s="23"/>
    </row>
    <row r="159" spans="1:12" ht="21.6" customHeight="1" x14ac:dyDescent="0.2">
      <c r="A159" s="7"/>
      <c r="B159" s="7"/>
      <c r="C159" s="7"/>
      <c r="D159" s="7"/>
      <c r="E159" s="7"/>
      <c r="F159" s="7"/>
      <c r="G159" s="7"/>
      <c r="H159" s="7"/>
      <c r="I159" s="7"/>
      <c r="J159" s="7"/>
      <c r="K159" s="23"/>
      <c r="L159" s="23"/>
    </row>
    <row r="160" spans="1:12" ht="21.6" customHeight="1" x14ac:dyDescent="0.2">
      <c r="A160" s="7"/>
      <c r="B160" s="7"/>
      <c r="C160" s="7"/>
      <c r="D160" s="7"/>
      <c r="E160" s="7"/>
      <c r="F160" s="7"/>
      <c r="G160" s="7"/>
      <c r="H160" s="7"/>
      <c r="I160" s="7"/>
      <c r="J160" s="7"/>
      <c r="K160" s="23"/>
      <c r="L160" s="23"/>
    </row>
    <row r="161" spans="1:12" ht="21.6" customHeight="1" x14ac:dyDescent="0.2">
      <c r="A161" s="7"/>
      <c r="B161" s="7"/>
      <c r="C161" s="7"/>
      <c r="D161" s="7"/>
      <c r="E161" s="7"/>
      <c r="F161" s="7"/>
      <c r="G161" s="7"/>
      <c r="H161" s="7"/>
      <c r="I161" s="7"/>
      <c r="J161" s="7"/>
      <c r="K161" s="23"/>
      <c r="L161" s="23"/>
    </row>
    <row r="162" spans="1:12" ht="21.6" customHeight="1" x14ac:dyDescent="0.2">
      <c r="A162" s="7"/>
      <c r="B162" s="7"/>
      <c r="C162" s="7"/>
      <c r="D162" s="7"/>
      <c r="E162" s="7"/>
      <c r="F162" s="7"/>
      <c r="G162" s="7"/>
      <c r="H162" s="7"/>
      <c r="I162" s="7"/>
      <c r="J162" s="7"/>
      <c r="K162" s="23"/>
      <c r="L162" s="23"/>
    </row>
    <row r="163" spans="1:12" ht="21.6" customHeight="1" x14ac:dyDescent="0.2">
      <c r="A163" s="7"/>
      <c r="B163" s="7"/>
      <c r="C163" s="7"/>
      <c r="D163" s="7"/>
      <c r="E163" s="7"/>
      <c r="F163" s="7"/>
      <c r="G163" s="7"/>
      <c r="H163" s="7"/>
      <c r="I163" s="7"/>
      <c r="J163" s="7"/>
      <c r="K163" s="23"/>
      <c r="L163" s="23"/>
    </row>
    <row r="164" spans="1:12" ht="21.6" customHeight="1" x14ac:dyDescent="0.2">
      <c r="A164" s="7"/>
      <c r="B164" s="7"/>
      <c r="C164" s="7"/>
      <c r="D164" s="7"/>
      <c r="E164" s="7"/>
      <c r="F164" s="7"/>
      <c r="G164" s="7"/>
      <c r="H164" s="7"/>
      <c r="I164" s="7"/>
      <c r="J164" s="7"/>
      <c r="K164" s="23"/>
      <c r="L164" s="23"/>
    </row>
    <row r="165" spans="1:12" ht="21.6" customHeight="1" x14ac:dyDescent="0.2">
      <c r="A165" s="7"/>
      <c r="B165" s="7"/>
      <c r="C165" s="7"/>
      <c r="D165" s="7"/>
      <c r="E165" s="7"/>
      <c r="F165" s="7"/>
      <c r="G165" s="7"/>
      <c r="H165" s="7"/>
      <c r="I165" s="7"/>
      <c r="J165" s="7"/>
      <c r="K165" s="23"/>
      <c r="L165" s="23"/>
    </row>
    <row r="166" spans="1:12" ht="21.6" customHeight="1" x14ac:dyDescent="0.2">
      <c r="A166" s="7"/>
      <c r="B166" s="7"/>
      <c r="C166" s="7"/>
      <c r="D166" s="7"/>
      <c r="E166" s="7"/>
      <c r="F166" s="7"/>
      <c r="G166" s="7"/>
      <c r="H166" s="7"/>
      <c r="I166" s="7"/>
      <c r="J166" s="7"/>
      <c r="K166" s="23"/>
      <c r="L166" s="23"/>
    </row>
    <row r="167" spans="1:12" ht="21.6" customHeight="1" x14ac:dyDescent="0.2">
      <c r="A167" s="7"/>
      <c r="B167" s="7"/>
      <c r="C167" s="7"/>
      <c r="D167" s="7"/>
      <c r="E167" s="7"/>
      <c r="F167" s="7"/>
      <c r="G167" s="7"/>
      <c r="H167" s="7"/>
      <c r="I167" s="7"/>
      <c r="J167" s="7"/>
      <c r="K167" s="23"/>
      <c r="L167" s="23"/>
    </row>
    <row r="168" spans="1:12" ht="21.6" customHeight="1" x14ac:dyDescent="0.2">
      <c r="A168" s="7"/>
      <c r="B168" s="7"/>
      <c r="C168" s="7"/>
      <c r="D168" s="7"/>
      <c r="E168" s="7"/>
      <c r="F168" s="7"/>
      <c r="G168" s="7"/>
      <c r="H168" s="7"/>
      <c r="I168" s="7"/>
      <c r="J168" s="7"/>
      <c r="K168" s="23"/>
      <c r="L168" s="23"/>
    </row>
    <row r="169" spans="1:12" ht="21.6" customHeight="1" x14ac:dyDescent="0.2">
      <c r="A169" s="7"/>
      <c r="B169" s="7"/>
      <c r="C169" s="7"/>
      <c r="D169" s="7"/>
      <c r="E169" s="7"/>
      <c r="F169" s="7"/>
      <c r="G169" s="7"/>
      <c r="H169" s="7"/>
      <c r="I169" s="7"/>
      <c r="J169" s="7"/>
      <c r="K169" s="23"/>
      <c r="L169" s="23"/>
    </row>
    <row r="170" spans="1:12" ht="21.6" customHeight="1" x14ac:dyDescent="0.2">
      <c r="A170" s="7"/>
      <c r="B170" s="7"/>
      <c r="C170" s="7"/>
      <c r="D170" s="7"/>
      <c r="E170" s="7"/>
      <c r="F170" s="7"/>
      <c r="G170" s="7"/>
      <c r="H170" s="7"/>
      <c r="I170" s="7"/>
      <c r="J170" s="7"/>
      <c r="K170" s="23"/>
      <c r="L170" s="23"/>
    </row>
    <row r="171" spans="1:12" ht="21.6" customHeight="1" x14ac:dyDescent="0.2">
      <c r="A171" s="7"/>
      <c r="B171" s="7"/>
      <c r="C171" s="7"/>
      <c r="D171" s="7"/>
      <c r="E171" s="7"/>
      <c r="F171" s="7"/>
      <c r="G171" s="7"/>
      <c r="H171" s="7"/>
      <c r="I171" s="7"/>
      <c r="J171" s="7"/>
      <c r="K171" s="23"/>
      <c r="L171" s="23"/>
    </row>
    <row r="172" spans="1:12" ht="21.6" customHeight="1" x14ac:dyDescent="0.2">
      <c r="A172" s="7"/>
      <c r="B172" s="7"/>
      <c r="C172" s="7"/>
      <c r="D172" s="7"/>
      <c r="E172" s="7"/>
      <c r="F172" s="7"/>
      <c r="G172" s="7"/>
      <c r="H172" s="7"/>
      <c r="K172" s="23"/>
      <c r="L172" s="23"/>
    </row>
    <row r="173" spans="1:12" ht="21.6" customHeight="1" x14ac:dyDescent="0.2">
      <c r="A173" s="7"/>
      <c r="B173" s="7"/>
      <c r="C173" s="7"/>
      <c r="D173" s="7"/>
      <c r="E173" s="7"/>
      <c r="F173" s="7"/>
      <c r="G173" s="7"/>
      <c r="H173" s="7"/>
      <c r="I173" s="23"/>
      <c r="J173" s="23"/>
      <c r="K173" s="23"/>
      <c r="L173" s="23"/>
    </row>
    <row r="174" spans="1:12" ht="28.35" customHeight="1" x14ac:dyDescent="0.2">
      <c r="A174" s="7"/>
      <c r="I174" s="23"/>
      <c r="J174" s="23"/>
      <c r="K174" s="23"/>
      <c r="L174" s="23"/>
    </row>
    <row r="175" spans="1:12" ht="66.599999999999994" customHeight="1" x14ac:dyDescent="0.2">
      <c r="A175" s="23"/>
      <c r="B175" s="23"/>
      <c r="C175" s="23"/>
      <c r="D175" s="23"/>
      <c r="E175" s="23"/>
      <c r="F175" s="23"/>
      <c r="G175" s="23"/>
      <c r="H175" s="23"/>
      <c r="I175" s="23"/>
      <c r="J175" s="23"/>
      <c r="K175" s="23"/>
      <c r="L175" s="23"/>
    </row>
    <row r="176" spans="1:12" ht="21.6" customHeight="1" x14ac:dyDescent="0.2">
      <c r="A176" s="7"/>
      <c r="B176" s="7"/>
      <c r="E176" s="7"/>
      <c r="H176" s="23"/>
      <c r="I176" s="23"/>
      <c r="J176" s="23"/>
      <c r="K176" s="23"/>
      <c r="L176" s="23"/>
    </row>
    <row r="177" spans="1:12" ht="35.85" customHeight="1" x14ac:dyDescent="0.2">
      <c r="B177" s="7"/>
      <c r="C177" s="7"/>
      <c r="D177" s="7"/>
      <c r="E177" s="7"/>
      <c r="F177" s="7"/>
      <c r="G177" s="7"/>
      <c r="H177" s="23"/>
      <c r="I177" s="23"/>
      <c r="J177" s="23"/>
      <c r="K177" s="23"/>
      <c r="L177" s="23"/>
    </row>
    <row r="178" spans="1:12" ht="21.6" customHeight="1" x14ac:dyDescent="0.2">
      <c r="A178" s="7"/>
      <c r="B178" s="7"/>
      <c r="C178" s="7"/>
      <c r="D178" s="7"/>
      <c r="E178" s="7"/>
      <c r="F178" s="7"/>
      <c r="G178" s="7"/>
      <c r="H178" s="23"/>
      <c r="I178" s="23"/>
      <c r="J178" s="23"/>
      <c r="K178" s="23"/>
      <c r="L178" s="23"/>
    </row>
    <row r="179" spans="1:12" ht="21.6" customHeight="1" x14ac:dyDescent="0.2">
      <c r="A179" s="7"/>
      <c r="B179" s="7"/>
      <c r="C179" s="7"/>
      <c r="D179" s="7"/>
      <c r="E179" s="7"/>
      <c r="F179" s="7"/>
      <c r="G179" s="7"/>
      <c r="H179" s="23"/>
      <c r="I179" s="23"/>
      <c r="J179" s="23"/>
      <c r="K179" s="23"/>
      <c r="L179" s="23"/>
    </row>
    <row r="180" spans="1:12" ht="21.6" customHeight="1" x14ac:dyDescent="0.2">
      <c r="A180" s="7"/>
      <c r="B180" s="7"/>
      <c r="C180" s="7"/>
      <c r="D180" s="7"/>
      <c r="E180" s="7"/>
      <c r="F180" s="7"/>
      <c r="G180" s="7"/>
      <c r="H180" s="23"/>
      <c r="I180" s="23"/>
      <c r="J180" s="23"/>
      <c r="K180" s="23"/>
      <c r="L180" s="23"/>
    </row>
    <row r="181" spans="1:12" ht="21.6" customHeight="1" x14ac:dyDescent="0.2">
      <c r="A181" s="7"/>
      <c r="B181" s="7"/>
      <c r="C181" s="7"/>
      <c r="D181" s="7"/>
      <c r="E181" s="7"/>
      <c r="F181" s="7"/>
      <c r="G181" s="7"/>
      <c r="H181" s="23"/>
      <c r="I181" s="23"/>
      <c r="J181" s="23"/>
      <c r="K181" s="23"/>
      <c r="L181" s="23"/>
    </row>
    <row r="182" spans="1:12" ht="21.6" customHeight="1" x14ac:dyDescent="0.2">
      <c r="A182" s="7"/>
      <c r="B182" s="7"/>
      <c r="C182" s="7"/>
      <c r="D182" s="7"/>
      <c r="E182" s="7"/>
      <c r="F182" s="7"/>
      <c r="G182" s="7"/>
      <c r="H182" s="23"/>
      <c r="I182" s="23"/>
      <c r="J182" s="23"/>
      <c r="K182" s="23"/>
      <c r="L182" s="23"/>
    </row>
    <row r="183" spans="1:12" ht="21.6" customHeight="1" x14ac:dyDescent="0.2">
      <c r="A183" s="7"/>
      <c r="B183" s="7"/>
      <c r="C183" s="7"/>
      <c r="D183" s="7"/>
      <c r="E183" s="7"/>
      <c r="F183" s="7"/>
      <c r="G183" s="7"/>
      <c r="H183" s="23"/>
      <c r="I183" s="23"/>
      <c r="J183" s="23"/>
      <c r="K183" s="23"/>
      <c r="L183" s="23"/>
    </row>
    <row r="184" spans="1:12" ht="21.6" customHeight="1" x14ac:dyDescent="0.2">
      <c r="A184" s="7"/>
      <c r="B184" s="7"/>
      <c r="C184" s="7"/>
      <c r="D184" s="7"/>
      <c r="E184" s="7"/>
      <c r="F184" s="7"/>
      <c r="G184" s="7"/>
      <c r="H184" s="23"/>
      <c r="I184" s="23"/>
      <c r="J184" s="23"/>
      <c r="K184" s="23"/>
      <c r="L184" s="23"/>
    </row>
    <row r="185" spans="1:12" ht="21.6" customHeight="1" x14ac:dyDescent="0.2">
      <c r="A185" s="7"/>
      <c r="E185" s="7"/>
      <c r="F185" s="7"/>
      <c r="G185" s="7"/>
      <c r="H185" s="23"/>
      <c r="I185" s="23"/>
      <c r="J185" s="23"/>
      <c r="K185" s="23"/>
      <c r="L185" s="23"/>
    </row>
    <row r="186" spans="1:12" ht="21.6" customHeight="1" x14ac:dyDescent="0.2">
      <c r="A186" s="7"/>
      <c r="B186" s="7"/>
      <c r="C186" s="7"/>
      <c r="D186" s="7"/>
      <c r="E186" s="7"/>
      <c r="F186" s="7"/>
      <c r="G186" s="7"/>
      <c r="H186" s="23"/>
      <c r="I186" s="23"/>
      <c r="J186" s="23"/>
      <c r="K186" s="23"/>
      <c r="L186" s="23"/>
    </row>
    <row r="187" spans="1:12" ht="21.6" customHeight="1" x14ac:dyDescent="0.2">
      <c r="A187" s="7"/>
      <c r="B187" s="7"/>
      <c r="C187" s="7"/>
      <c r="D187" s="7"/>
      <c r="E187" s="7"/>
      <c r="F187" s="7"/>
      <c r="G187" s="7"/>
      <c r="H187" s="23"/>
      <c r="I187" s="23"/>
      <c r="J187" s="23"/>
      <c r="K187" s="23"/>
      <c r="L187" s="23"/>
    </row>
    <row r="188" spans="1:12" ht="21.6" customHeight="1" x14ac:dyDescent="0.2">
      <c r="A188" s="7"/>
      <c r="B188" s="7"/>
      <c r="C188" s="7"/>
      <c r="D188" s="7"/>
      <c r="E188" s="7"/>
      <c r="F188" s="7"/>
      <c r="G188" s="7"/>
      <c r="H188" s="23"/>
      <c r="I188" s="23"/>
      <c r="J188" s="23"/>
      <c r="K188" s="23"/>
      <c r="L188" s="23"/>
    </row>
    <row r="189" spans="1:12" ht="21.6" customHeight="1" x14ac:dyDescent="0.2">
      <c r="A189" s="7"/>
      <c r="B189" s="7"/>
      <c r="C189" s="7"/>
      <c r="D189" s="7"/>
      <c r="E189" s="7"/>
      <c r="F189" s="7"/>
      <c r="G189" s="7"/>
      <c r="H189" s="23"/>
      <c r="I189" s="23"/>
      <c r="J189" s="23"/>
      <c r="K189" s="23"/>
      <c r="L189" s="23"/>
    </row>
    <row r="190" spans="1:12" ht="21.6" customHeight="1" x14ac:dyDescent="0.2">
      <c r="A190" s="7"/>
      <c r="B190" s="7"/>
      <c r="C190" s="7"/>
      <c r="D190" s="7"/>
      <c r="E190" s="7"/>
      <c r="F190" s="7"/>
      <c r="G190" s="7"/>
      <c r="H190" s="23"/>
      <c r="I190" s="23"/>
      <c r="J190" s="23"/>
      <c r="K190" s="23"/>
      <c r="L190" s="23"/>
    </row>
    <row r="191" spans="1:12" ht="21.6" customHeight="1" x14ac:dyDescent="0.2">
      <c r="A191" s="7"/>
      <c r="B191" s="7"/>
      <c r="C191" s="7"/>
      <c r="D191" s="7"/>
      <c r="E191" s="7"/>
      <c r="F191" s="7"/>
      <c r="G191" s="7"/>
      <c r="H191" s="23"/>
      <c r="I191" s="23"/>
      <c r="J191" s="23"/>
      <c r="K191" s="23"/>
      <c r="L191" s="23"/>
    </row>
    <row r="192" spans="1:12" ht="21.6" customHeight="1" x14ac:dyDescent="0.2">
      <c r="A192" s="7"/>
      <c r="B192" s="7"/>
      <c r="C192" s="7"/>
      <c r="D192" s="7"/>
      <c r="E192" s="7"/>
      <c r="F192" s="7"/>
      <c r="G192" s="7"/>
      <c r="H192" s="23"/>
      <c r="I192" s="23"/>
      <c r="J192" s="23"/>
      <c r="K192" s="23"/>
      <c r="L192" s="23"/>
    </row>
    <row r="193" spans="1:12" ht="21.6" customHeight="1" x14ac:dyDescent="0.2">
      <c r="A193" s="7"/>
      <c r="B193" s="7"/>
      <c r="C193" s="7"/>
      <c r="D193" s="7"/>
      <c r="E193" s="7"/>
      <c r="F193" s="7"/>
      <c r="G193" s="7"/>
      <c r="H193" s="23"/>
      <c r="I193" s="23"/>
      <c r="J193" s="23"/>
      <c r="K193" s="23"/>
      <c r="L193" s="23"/>
    </row>
    <row r="194" spans="1:12" ht="21.6" customHeight="1" x14ac:dyDescent="0.2">
      <c r="A194" s="7"/>
      <c r="E194" s="7"/>
      <c r="F194" s="7"/>
      <c r="G194" s="7"/>
      <c r="H194" s="23"/>
      <c r="I194" s="23"/>
      <c r="J194" s="23"/>
      <c r="K194" s="23"/>
      <c r="L194" s="23"/>
    </row>
    <row r="195" spans="1:12" ht="21.6" customHeight="1" x14ac:dyDescent="0.2">
      <c r="A195" s="7"/>
      <c r="B195" s="7"/>
      <c r="C195" s="7"/>
      <c r="D195" s="7"/>
      <c r="E195" s="7"/>
      <c r="F195" s="7"/>
      <c r="G195" s="7"/>
      <c r="H195" s="23"/>
      <c r="I195" s="23"/>
      <c r="J195" s="23"/>
      <c r="K195" s="23"/>
      <c r="L195" s="23"/>
    </row>
    <row r="196" spans="1:12" ht="21.6" customHeight="1" x14ac:dyDescent="0.2">
      <c r="A196" s="7"/>
      <c r="E196" s="7"/>
      <c r="F196" s="7"/>
      <c r="G196" s="7"/>
      <c r="H196" s="23"/>
      <c r="I196" s="23"/>
      <c r="J196" s="23"/>
      <c r="K196" s="23"/>
      <c r="L196" s="23"/>
    </row>
    <row r="197" spans="1:12" ht="21.6" customHeight="1" x14ac:dyDescent="0.2">
      <c r="A197" s="7"/>
      <c r="B197" s="7"/>
      <c r="C197" s="7"/>
      <c r="D197" s="7"/>
      <c r="E197" s="7"/>
      <c r="F197" s="7"/>
      <c r="G197" s="7"/>
      <c r="H197" s="23"/>
      <c r="I197" s="23"/>
      <c r="J197" s="23"/>
      <c r="K197" s="23"/>
      <c r="L197" s="23"/>
    </row>
    <row r="198" spans="1:12" ht="21.6" customHeight="1" x14ac:dyDescent="0.2">
      <c r="A198" s="7"/>
      <c r="E198" s="7"/>
      <c r="F198" s="7"/>
      <c r="G198" s="7"/>
      <c r="H198" s="23"/>
      <c r="I198" s="23"/>
      <c r="J198" s="23"/>
      <c r="K198" s="23"/>
      <c r="L198" s="23"/>
    </row>
    <row r="199" spans="1:12" ht="21.6" customHeight="1" x14ac:dyDescent="0.2">
      <c r="A199" s="7"/>
      <c r="B199" s="7"/>
      <c r="C199" s="7"/>
      <c r="D199" s="7"/>
      <c r="E199" s="7"/>
      <c r="F199" s="7"/>
      <c r="G199" s="7"/>
      <c r="H199" s="23"/>
      <c r="I199" s="23"/>
      <c r="J199" s="23"/>
      <c r="K199" s="23"/>
      <c r="L199" s="23"/>
    </row>
    <row r="200" spans="1:12" ht="21.6" customHeight="1" x14ac:dyDescent="0.2">
      <c r="A200" s="7"/>
      <c r="H200" s="23"/>
      <c r="I200" s="23"/>
      <c r="J200" s="23"/>
      <c r="K200" s="23"/>
      <c r="L200" s="23"/>
    </row>
    <row r="201" spans="1:12" ht="21.6" customHeight="1" x14ac:dyDescent="0.2">
      <c r="A201" s="7"/>
      <c r="B201" s="7"/>
      <c r="C201" s="7"/>
      <c r="D201" s="7"/>
      <c r="E201" s="7"/>
      <c r="F201" s="7"/>
      <c r="G201" s="7"/>
      <c r="H201" s="23"/>
      <c r="I201" s="23"/>
      <c r="J201" s="23"/>
      <c r="K201" s="23"/>
      <c r="L201" s="23"/>
    </row>
    <row r="202" spans="1:12" ht="80.849999999999994" customHeight="1" x14ac:dyDescent="0.2">
      <c r="A202" s="7"/>
      <c r="H202" s="23"/>
      <c r="I202" s="23"/>
      <c r="J202" s="23"/>
      <c r="K202" s="23"/>
      <c r="L202" s="23"/>
    </row>
    <row r="203" spans="1:12" ht="14.1" customHeight="1" x14ac:dyDescent="0.2">
      <c r="A203" s="297"/>
      <c r="B203" s="298"/>
      <c r="C203" s="298"/>
      <c r="D203" s="298"/>
      <c r="E203" s="23"/>
      <c r="F203" s="23"/>
      <c r="G203" s="23"/>
      <c r="H203" s="23"/>
    </row>
    <row r="204" spans="1:12" ht="14.1" customHeight="1" x14ac:dyDescent="0.2">
      <c r="A204" s="23"/>
      <c r="B204" s="23"/>
      <c r="C204" s="23"/>
      <c r="D204" s="23"/>
      <c r="E204" s="23"/>
      <c r="F204" s="23"/>
      <c r="G204" s="23"/>
      <c r="H204" s="23"/>
    </row>
    <row r="205" spans="1:12" ht="15" customHeight="1" x14ac:dyDescent="0.2"/>
  </sheetData>
  <sheetProtection algorithmName="SHA-512" hashValue="FqYix6GgikG+GK51ffSuvjIn/fTz6hjZqcd6twCqVGwkzt08hLUMfBY9nM1AxqvuMom/BpyXiqk6HbWeDVhm5w==" saltValue="RGu/GYkfez98bbQq84xvFw==" spinCount="100000" sheet="1" objects="1" scenarios="1"/>
  <mergeCells count="12">
    <mergeCell ref="BB46:BK46"/>
    <mergeCell ref="AB46:AK47"/>
    <mergeCell ref="I46:R46"/>
    <mergeCell ref="BM32:BS35"/>
    <mergeCell ref="BN3:BP4"/>
    <mergeCell ref="BM3:BM5"/>
    <mergeCell ref="BQ3:BS4"/>
    <mergeCell ref="A1:D1"/>
    <mergeCell ref="A8:G10"/>
    <mergeCell ref="T8:Z9"/>
    <mergeCell ref="AM7:AR8"/>
    <mergeCell ref="AT7:AZ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8"/>
  <sheetViews>
    <sheetView showGridLines="0" showRuler="0" workbookViewId="0">
      <selection activeCell="C14" sqref="C14"/>
    </sheetView>
  </sheetViews>
  <sheetFormatPr defaultColWidth="13.140625" defaultRowHeight="12.75" x14ac:dyDescent="0.2"/>
  <cols>
    <col min="1" max="6" width="28" customWidth="1"/>
    <col min="7" max="17" width="14.42578125" customWidth="1"/>
  </cols>
  <sheetData>
    <row r="1" spans="1:17" ht="18" x14ac:dyDescent="0.25">
      <c r="A1" s="699" t="s">
        <v>639</v>
      </c>
      <c r="B1" s="699"/>
      <c r="C1" s="699"/>
      <c r="D1" s="699"/>
      <c r="E1" s="23"/>
      <c r="F1" s="23"/>
      <c r="G1" s="23"/>
      <c r="H1" s="23"/>
      <c r="I1" s="23"/>
      <c r="J1" s="23"/>
      <c r="K1" s="23"/>
      <c r="L1" s="23"/>
      <c r="M1" s="23"/>
      <c r="N1" s="23"/>
      <c r="O1" s="23"/>
      <c r="P1" s="23"/>
      <c r="Q1" s="23"/>
    </row>
    <row r="2" spans="1:17" x14ac:dyDescent="0.2">
      <c r="A2" s="24"/>
      <c r="B2" s="24"/>
      <c r="C2" s="24"/>
      <c r="D2" s="23"/>
      <c r="E2" s="23"/>
      <c r="F2" s="23"/>
      <c r="G2" s="23"/>
      <c r="H2" s="23"/>
      <c r="I2" s="23"/>
      <c r="J2" s="23"/>
      <c r="K2" s="23"/>
      <c r="L2" s="23"/>
      <c r="M2" s="23"/>
      <c r="N2" s="23"/>
      <c r="O2" s="23"/>
      <c r="P2" s="23"/>
      <c r="Q2" s="23"/>
    </row>
    <row r="3" spans="1:17" ht="47.45" customHeight="1" x14ac:dyDescent="0.2">
      <c r="A3" s="461" t="s">
        <v>1188</v>
      </c>
      <c r="B3" s="467" t="s">
        <v>5</v>
      </c>
      <c r="C3" s="467" t="s">
        <v>1189</v>
      </c>
      <c r="D3" s="300"/>
      <c r="E3" s="23"/>
      <c r="F3" s="23"/>
      <c r="G3" s="23"/>
      <c r="H3" s="23"/>
      <c r="I3" s="23"/>
      <c r="J3" s="23"/>
      <c r="K3" s="23"/>
      <c r="L3" s="23"/>
      <c r="M3" s="23"/>
      <c r="N3" s="23"/>
      <c r="O3" s="23"/>
      <c r="P3" s="23"/>
      <c r="Q3" s="23"/>
    </row>
    <row r="4" spans="1:17" ht="21.6" customHeight="1" x14ac:dyDescent="0.2">
      <c r="A4" s="623" t="s">
        <v>154</v>
      </c>
      <c r="B4" s="212" t="s">
        <v>72</v>
      </c>
      <c r="C4" s="301"/>
      <c r="D4" s="302"/>
      <c r="E4" s="23"/>
      <c r="F4" s="23"/>
      <c r="G4" s="23"/>
      <c r="H4" s="23"/>
      <c r="I4" s="23"/>
      <c r="J4" s="23"/>
      <c r="K4" s="23"/>
      <c r="L4" s="23"/>
      <c r="M4" s="23"/>
      <c r="N4" s="23"/>
      <c r="O4" s="23"/>
      <c r="P4" s="23"/>
      <c r="Q4" s="23"/>
    </row>
    <row r="5" spans="1:17" ht="21.6" customHeight="1" x14ac:dyDescent="0.2">
      <c r="A5" s="623"/>
      <c r="B5" s="219" t="s">
        <v>41</v>
      </c>
      <c r="C5" s="218" t="s">
        <v>197</v>
      </c>
      <c r="D5" s="302"/>
      <c r="E5" s="23"/>
      <c r="F5" s="23"/>
      <c r="G5" s="23"/>
      <c r="H5" s="23"/>
      <c r="I5" s="23"/>
      <c r="J5" s="23"/>
      <c r="K5" s="23"/>
      <c r="L5" s="23"/>
      <c r="M5" s="23"/>
      <c r="N5" s="23"/>
      <c r="O5" s="23"/>
      <c r="P5" s="23"/>
      <c r="Q5" s="23"/>
    </row>
    <row r="6" spans="1:17" ht="21.6" customHeight="1" x14ac:dyDescent="0.2">
      <c r="A6" s="623"/>
      <c r="B6" s="219" t="s">
        <v>158</v>
      </c>
      <c r="C6" s="299" t="s">
        <v>223</v>
      </c>
      <c r="D6" s="302"/>
      <c r="E6" s="23"/>
      <c r="F6" s="23"/>
      <c r="G6" s="23"/>
      <c r="H6" s="23"/>
      <c r="I6" s="23"/>
      <c r="J6" s="23"/>
      <c r="K6" s="23"/>
      <c r="L6" s="23"/>
      <c r="M6" s="23"/>
      <c r="N6" s="23"/>
      <c r="O6" s="23"/>
      <c r="P6" s="23"/>
      <c r="Q6" s="23"/>
    </row>
    <row r="7" spans="1:17" ht="21.6" customHeight="1" x14ac:dyDescent="0.2">
      <c r="A7" s="623" t="s">
        <v>160</v>
      </c>
      <c r="B7" s="212" t="s">
        <v>79</v>
      </c>
      <c r="C7" s="303"/>
      <c r="D7" s="302"/>
      <c r="E7" s="23"/>
      <c r="F7" s="23"/>
      <c r="G7" s="23"/>
      <c r="H7" s="23"/>
      <c r="I7" s="23"/>
      <c r="J7" s="23"/>
      <c r="K7" s="23"/>
      <c r="L7" s="23"/>
      <c r="M7" s="23"/>
      <c r="N7" s="23"/>
      <c r="O7" s="23"/>
      <c r="P7" s="23"/>
      <c r="Q7" s="23"/>
    </row>
    <row r="8" spans="1:17" ht="21.6" customHeight="1" x14ac:dyDescent="0.2">
      <c r="A8" s="623"/>
      <c r="B8" s="219" t="s">
        <v>640</v>
      </c>
      <c r="C8" s="218" t="s">
        <v>223</v>
      </c>
      <c r="D8" s="302"/>
      <c r="E8" s="23"/>
      <c r="F8" s="23"/>
      <c r="G8" s="23"/>
      <c r="H8" s="23"/>
      <c r="I8" s="23"/>
      <c r="J8" s="23"/>
      <c r="K8" s="23"/>
      <c r="L8" s="23"/>
      <c r="M8" s="23"/>
      <c r="N8" s="23"/>
      <c r="O8" s="23"/>
      <c r="P8" s="23"/>
      <c r="Q8" s="23"/>
    </row>
    <row r="9" spans="1:17" ht="21.6" customHeight="1" x14ac:dyDescent="0.2">
      <c r="A9" s="623"/>
      <c r="B9" s="212" t="s">
        <v>82</v>
      </c>
      <c r="C9" s="303"/>
      <c r="D9" s="302"/>
      <c r="E9" s="23"/>
      <c r="F9" s="23"/>
      <c r="G9" s="23"/>
      <c r="H9" s="23"/>
      <c r="I9" s="23"/>
      <c r="J9" s="23"/>
      <c r="K9" s="23"/>
      <c r="L9" s="23"/>
      <c r="M9" s="23"/>
      <c r="N9" s="23"/>
      <c r="O9" s="23"/>
      <c r="P9" s="23"/>
      <c r="Q9" s="23"/>
    </row>
    <row r="10" spans="1:17" ht="21.6" customHeight="1" x14ac:dyDescent="0.2">
      <c r="A10" s="623"/>
      <c r="B10" s="219" t="s">
        <v>163</v>
      </c>
      <c r="C10" s="218" t="s">
        <v>223</v>
      </c>
      <c r="D10" s="302"/>
      <c r="E10" s="23"/>
      <c r="F10" s="23"/>
      <c r="G10" s="23"/>
      <c r="H10" s="23"/>
      <c r="I10" s="23"/>
      <c r="J10" s="23"/>
      <c r="K10" s="23"/>
      <c r="L10" s="23"/>
      <c r="M10" s="23"/>
      <c r="N10" s="23"/>
      <c r="O10" s="23"/>
      <c r="P10" s="23"/>
      <c r="Q10" s="23"/>
    </row>
    <row r="11" spans="1:17" ht="21.6" customHeight="1" x14ac:dyDescent="0.2">
      <c r="A11" s="623"/>
      <c r="B11" s="219" t="s">
        <v>164</v>
      </c>
      <c r="C11" s="218" t="s">
        <v>223</v>
      </c>
      <c r="D11" s="302"/>
      <c r="E11" s="23"/>
      <c r="F11" s="23"/>
      <c r="G11" s="23"/>
      <c r="H11" s="23"/>
      <c r="I11" s="23"/>
      <c r="J11" s="23"/>
      <c r="K11" s="23"/>
      <c r="L11" s="23"/>
      <c r="M11" s="23"/>
      <c r="N11" s="23"/>
      <c r="O11" s="23"/>
      <c r="P11" s="23"/>
      <c r="Q11" s="23"/>
    </row>
    <row r="12" spans="1:17" ht="21.6" customHeight="1" x14ac:dyDescent="0.2">
      <c r="A12" s="623"/>
      <c r="B12" s="219" t="s">
        <v>29</v>
      </c>
      <c r="C12" s="218" t="s">
        <v>223</v>
      </c>
      <c r="D12" s="302"/>
      <c r="E12" s="23"/>
      <c r="F12" s="23"/>
      <c r="G12" s="23"/>
      <c r="H12" s="23"/>
      <c r="I12" s="23"/>
      <c r="J12" s="23"/>
      <c r="K12" s="23"/>
      <c r="L12" s="23"/>
      <c r="M12" s="23"/>
      <c r="N12" s="23"/>
      <c r="O12" s="23"/>
      <c r="P12" s="23"/>
      <c r="Q12" s="23"/>
    </row>
    <row r="13" spans="1:17" ht="21.6" customHeight="1" x14ac:dyDescent="0.2">
      <c r="A13" s="623"/>
      <c r="B13" s="212" t="s">
        <v>86</v>
      </c>
      <c r="C13" s="303"/>
      <c r="D13" s="302"/>
      <c r="E13" s="23"/>
      <c r="F13" s="23"/>
      <c r="G13" s="23"/>
      <c r="H13" s="23"/>
      <c r="I13" s="23"/>
      <c r="J13" s="23"/>
      <c r="K13" s="23"/>
      <c r="L13" s="23"/>
      <c r="M13" s="23"/>
      <c r="N13" s="23"/>
      <c r="O13" s="23"/>
      <c r="P13" s="23"/>
      <c r="Q13" s="23"/>
    </row>
    <row r="14" spans="1:17" ht="21.6" customHeight="1" x14ac:dyDescent="0.2">
      <c r="A14" s="623"/>
      <c r="B14" s="219" t="s">
        <v>25</v>
      </c>
      <c r="C14" s="218" t="s">
        <v>223</v>
      </c>
      <c r="D14" s="302"/>
      <c r="E14" s="23"/>
      <c r="F14" s="23"/>
      <c r="G14" s="23"/>
      <c r="H14" s="23"/>
      <c r="I14" s="23"/>
      <c r="J14" s="23"/>
      <c r="K14" s="23"/>
      <c r="L14" s="23"/>
      <c r="M14" s="23"/>
      <c r="N14" s="23"/>
      <c r="O14" s="23"/>
      <c r="P14" s="23"/>
      <c r="Q14" s="23"/>
    </row>
    <row r="15" spans="1:17" ht="21.6" customHeight="1" x14ac:dyDescent="0.2">
      <c r="A15" s="623"/>
      <c r="B15" s="212" t="s">
        <v>89</v>
      </c>
      <c r="C15" s="303"/>
      <c r="D15" s="302"/>
      <c r="E15" s="23"/>
      <c r="F15" s="23"/>
      <c r="G15" s="23"/>
      <c r="H15" s="23"/>
      <c r="I15" s="23"/>
      <c r="J15" s="23"/>
      <c r="K15" s="23"/>
      <c r="L15" s="23"/>
      <c r="M15" s="23"/>
      <c r="N15" s="23"/>
      <c r="O15" s="23"/>
      <c r="P15" s="23"/>
      <c r="Q15" s="23"/>
    </row>
    <row r="16" spans="1:17" ht="21.6" customHeight="1" x14ac:dyDescent="0.2">
      <c r="A16" s="623"/>
      <c r="B16" s="219" t="s">
        <v>11</v>
      </c>
      <c r="C16" s="218" t="s">
        <v>223</v>
      </c>
      <c r="D16" s="302"/>
      <c r="E16" s="23"/>
      <c r="F16" s="23"/>
      <c r="G16" s="23"/>
      <c r="H16" s="23"/>
      <c r="I16" s="23"/>
      <c r="J16" s="23"/>
      <c r="K16" s="23"/>
      <c r="L16" s="23"/>
      <c r="M16" s="23"/>
      <c r="N16" s="23"/>
      <c r="O16" s="23"/>
      <c r="P16" s="23"/>
      <c r="Q16" s="23"/>
    </row>
    <row r="17" spans="1:17" ht="21.6" customHeight="1" x14ac:dyDescent="0.2">
      <c r="A17" s="623"/>
      <c r="B17" s="212" t="s">
        <v>94</v>
      </c>
      <c r="C17" s="303"/>
      <c r="D17" s="302"/>
      <c r="E17" s="23"/>
      <c r="F17" s="23"/>
      <c r="G17" s="23"/>
      <c r="H17" s="23"/>
      <c r="I17" s="23"/>
      <c r="J17" s="23"/>
      <c r="K17" s="23"/>
      <c r="L17" s="23"/>
      <c r="M17" s="23"/>
      <c r="N17" s="23"/>
      <c r="O17" s="23"/>
      <c r="P17" s="23"/>
      <c r="Q17" s="23"/>
    </row>
    <row r="18" spans="1:17" ht="21.6" customHeight="1" x14ac:dyDescent="0.2">
      <c r="A18" s="623"/>
      <c r="B18" s="219" t="s">
        <v>167</v>
      </c>
      <c r="C18" s="218" t="s">
        <v>197</v>
      </c>
      <c r="D18" s="302"/>
      <c r="E18" s="23"/>
      <c r="F18" s="23"/>
      <c r="G18" s="23"/>
      <c r="H18" s="23"/>
      <c r="I18" s="23"/>
      <c r="J18" s="23"/>
      <c r="K18" s="23"/>
      <c r="L18" s="23"/>
      <c r="M18" s="23"/>
      <c r="N18" s="23"/>
      <c r="O18" s="23"/>
      <c r="P18" s="23"/>
      <c r="Q18" s="23"/>
    </row>
    <row r="19" spans="1:17" ht="21.6" customHeight="1" x14ac:dyDescent="0.2">
      <c r="A19" s="623"/>
      <c r="B19" s="212" t="s">
        <v>97</v>
      </c>
      <c r="C19" s="303"/>
      <c r="D19" s="302"/>
      <c r="E19" s="23"/>
      <c r="F19" s="23"/>
      <c r="G19" s="23"/>
      <c r="H19" s="23"/>
      <c r="I19" s="23"/>
      <c r="J19" s="23"/>
      <c r="K19" s="23"/>
      <c r="L19" s="23"/>
      <c r="M19" s="23"/>
      <c r="N19" s="23"/>
      <c r="O19" s="23"/>
      <c r="P19" s="23"/>
      <c r="Q19" s="23"/>
    </row>
    <row r="20" spans="1:17" ht="21.6" customHeight="1" x14ac:dyDescent="0.2">
      <c r="A20" s="623"/>
      <c r="B20" s="219" t="s">
        <v>20</v>
      </c>
      <c r="C20" s="218" t="s">
        <v>197</v>
      </c>
      <c r="D20" s="302"/>
      <c r="E20" s="23"/>
      <c r="F20" s="23"/>
      <c r="G20" s="23"/>
      <c r="H20" s="23"/>
      <c r="I20" s="23"/>
      <c r="J20" s="23"/>
      <c r="K20" s="23"/>
      <c r="L20" s="23"/>
      <c r="M20" s="23"/>
      <c r="N20" s="23"/>
      <c r="O20" s="23"/>
      <c r="P20" s="23"/>
      <c r="Q20" s="23"/>
    </row>
    <row r="21" spans="1:17" ht="21.6" customHeight="1" x14ac:dyDescent="0.2">
      <c r="A21" s="623" t="s">
        <v>168</v>
      </c>
      <c r="B21" s="212" t="s">
        <v>76</v>
      </c>
      <c r="C21" s="303"/>
      <c r="D21" s="302"/>
      <c r="E21" s="23"/>
      <c r="F21" s="23"/>
      <c r="G21" s="23"/>
      <c r="H21" s="23"/>
      <c r="I21" s="23"/>
      <c r="J21" s="23"/>
      <c r="K21" s="23"/>
      <c r="L21" s="23"/>
      <c r="M21" s="23"/>
      <c r="N21" s="23"/>
      <c r="O21" s="23"/>
      <c r="P21" s="23"/>
      <c r="Q21" s="23"/>
    </row>
    <row r="22" spans="1:17" ht="21.6" customHeight="1" x14ac:dyDescent="0.2">
      <c r="A22" s="623"/>
      <c r="B22" s="219" t="s">
        <v>169</v>
      </c>
      <c r="C22" s="218" t="s">
        <v>223</v>
      </c>
      <c r="D22" s="302"/>
      <c r="E22" s="23"/>
      <c r="F22" s="23"/>
      <c r="G22" s="23"/>
      <c r="H22" s="23"/>
      <c r="I22" s="23"/>
      <c r="J22" s="23"/>
      <c r="K22" s="23"/>
      <c r="L22" s="23"/>
      <c r="M22" s="23"/>
      <c r="N22" s="23"/>
      <c r="O22" s="23"/>
      <c r="P22" s="23"/>
      <c r="Q22" s="23"/>
    </row>
    <row r="23" spans="1:17" ht="21.6" customHeight="1" x14ac:dyDescent="0.2">
      <c r="A23" s="623"/>
      <c r="B23" s="219" t="s">
        <v>14</v>
      </c>
      <c r="C23" s="218" t="s">
        <v>223</v>
      </c>
      <c r="D23" s="302"/>
      <c r="E23" s="23"/>
      <c r="F23" s="23"/>
      <c r="G23" s="23"/>
      <c r="H23" s="23"/>
      <c r="I23" s="23"/>
      <c r="J23" s="23"/>
      <c r="K23" s="23"/>
      <c r="L23" s="23"/>
      <c r="M23" s="23"/>
      <c r="N23" s="23"/>
      <c r="O23" s="23"/>
      <c r="P23" s="23"/>
      <c r="Q23" s="23"/>
    </row>
    <row r="24" spans="1:17" ht="114.2" customHeight="1" x14ac:dyDescent="0.2">
      <c r="A24" s="684" t="s">
        <v>641</v>
      </c>
      <c r="B24" s="684"/>
      <c r="C24" s="684"/>
      <c r="D24" s="23"/>
      <c r="E24" s="23"/>
      <c r="F24" s="23"/>
      <c r="G24" s="23"/>
      <c r="H24" s="23"/>
      <c r="I24" s="23"/>
      <c r="J24" s="23"/>
      <c r="K24" s="23"/>
      <c r="L24" s="23"/>
      <c r="M24" s="23"/>
      <c r="N24" s="23"/>
      <c r="O24" s="23"/>
      <c r="P24" s="23"/>
      <c r="Q24" s="23"/>
    </row>
    <row r="25" spans="1:17" ht="14.1" customHeight="1" x14ac:dyDescent="0.2">
      <c r="A25" s="23"/>
      <c r="B25" s="23"/>
      <c r="C25" s="23"/>
      <c r="D25" s="23"/>
      <c r="E25" s="23"/>
      <c r="F25" s="23"/>
      <c r="G25" s="23"/>
      <c r="H25" s="23"/>
      <c r="I25" s="23"/>
      <c r="J25" s="23"/>
      <c r="K25" s="23"/>
      <c r="L25" s="23"/>
      <c r="M25" s="23"/>
      <c r="N25" s="23"/>
      <c r="O25" s="23"/>
      <c r="P25" s="23"/>
      <c r="Q25" s="23"/>
    </row>
    <row r="26" spans="1:17" ht="14.1" customHeight="1" x14ac:dyDescent="0.2">
      <c r="A26" s="23"/>
      <c r="B26" s="23"/>
      <c r="C26" s="23"/>
      <c r="D26" s="23"/>
      <c r="E26" s="23"/>
      <c r="F26" s="23"/>
      <c r="G26" s="23"/>
      <c r="H26" s="23"/>
      <c r="I26" s="23"/>
      <c r="J26" s="23"/>
      <c r="K26" s="23"/>
      <c r="L26" s="23"/>
      <c r="M26" s="23"/>
      <c r="N26" s="23"/>
      <c r="O26" s="23"/>
      <c r="P26" s="23"/>
      <c r="Q26" s="23"/>
    </row>
    <row r="27" spans="1:17" ht="14.1" customHeight="1" x14ac:dyDescent="0.2">
      <c r="A27" s="23"/>
      <c r="B27" s="23"/>
      <c r="C27" s="23"/>
      <c r="D27" s="33"/>
      <c r="E27" s="23"/>
      <c r="F27" s="23"/>
      <c r="G27" s="23"/>
      <c r="H27" s="23"/>
      <c r="I27" s="23"/>
      <c r="J27" s="23"/>
      <c r="K27" s="23"/>
      <c r="L27" s="23"/>
      <c r="M27" s="23"/>
      <c r="N27" s="23"/>
      <c r="O27" s="23"/>
      <c r="P27" s="23"/>
      <c r="Q27" s="23"/>
    </row>
    <row r="28" spans="1:17" ht="15" customHeight="1" x14ac:dyDescent="0.2"/>
    <row r="29" spans="1:17" ht="15" customHeight="1" x14ac:dyDescent="0.2"/>
    <row r="30" spans="1:17" ht="15" customHeight="1" x14ac:dyDescent="0.2"/>
    <row r="31" spans="1:17" ht="15" customHeight="1" x14ac:dyDescent="0.2"/>
    <row r="32" spans="1: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sheetProtection algorithmName="SHA-512" hashValue="PaEdF/nv7CV3pi7GjEq0S7ISJe8RkaycUTNEOfBcl5rPNf0z2+Vn5pB/MZJj1whowku8KizUEibigtDlo/OSPw==" saltValue="ogTJnmQX3xiabtaTi6C76A==" spinCount="100000" sheet="1" objects="1" scenarios="1"/>
  <mergeCells count="6">
    <mergeCell ref="A24:C24"/>
    <mergeCell ref="A1:D1"/>
    <mergeCell ref="A4:A6"/>
    <mergeCell ref="A7:A14"/>
    <mergeCell ref="A15:A20"/>
    <mergeCell ref="A21: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1"/>
  <sheetViews>
    <sheetView showGridLines="0" showRuler="0" zoomScaleNormal="100" workbookViewId="0">
      <selection activeCell="A3" sqref="A3"/>
    </sheetView>
  </sheetViews>
  <sheetFormatPr defaultColWidth="13.140625" defaultRowHeight="12.75" x14ac:dyDescent="0.2"/>
  <cols>
    <col min="1" max="1" width="39.140625" customWidth="1"/>
    <col min="2" max="3" width="31.5703125" customWidth="1"/>
    <col min="4" max="4" width="16.5703125" customWidth="1"/>
    <col min="5" max="5" width="132.85546875" customWidth="1"/>
    <col min="6" max="6" width="7" customWidth="1"/>
    <col min="7" max="7" width="39.42578125" customWidth="1"/>
    <col min="8" max="10" width="14.42578125" customWidth="1"/>
    <col min="11" max="11" width="98.5703125" customWidth="1"/>
    <col min="12" max="12" width="8" customWidth="1"/>
    <col min="13" max="13" width="39.42578125" customWidth="1"/>
    <col min="14" max="14" width="14.42578125" customWidth="1"/>
    <col min="15" max="15" width="17.85546875" customWidth="1"/>
    <col min="16" max="17" width="52.7109375" customWidth="1"/>
    <col min="18" max="18" width="64.28515625" customWidth="1"/>
    <col min="20" max="20" width="39.42578125" customWidth="1"/>
  </cols>
  <sheetData>
    <row r="1" spans="1:24" ht="24.95" customHeight="1" x14ac:dyDescent="0.25">
      <c r="A1" s="560" t="s">
        <v>0</v>
      </c>
      <c r="B1" s="560"/>
      <c r="C1" s="560"/>
      <c r="D1" s="23"/>
      <c r="E1" s="23"/>
      <c r="F1" s="23"/>
      <c r="G1" s="23"/>
      <c r="H1" s="23"/>
      <c r="I1" s="23"/>
      <c r="J1" s="23"/>
      <c r="K1" s="23"/>
      <c r="L1" s="23"/>
      <c r="M1" s="23"/>
      <c r="N1" s="23"/>
      <c r="O1" s="23"/>
      <c r="P1" s="23"/>
    </row>
    <row r="2" spans="1:24" x14ac:dyDescent="0.2">
      <c r="A2" s="1"/>
      <c r="B2" s="24"/>
      <c r="C2" s="24"/>
      <c r="D2" s="25"/>
      <c r="E2" s="24"/>
      <c r="F2" s="23"/>
      <c r="G2" s="24"/>
      <c r="H2" s="24"/>
      <c r="I2" s="24"/>
      <c r="J2" s="24"/>
      <c r="K2" s="24"/>
      <c r="L2" s="23"/>
      <c r="M2" s="24"/>
      <c r="N2" s="24"/>
      <c r="O2" s="2"/>
      <c r="P2" s="24"/>
    </row>
    <row r="3" spans="1:24" ht="49.15" customHeight="1" x14ac:dyDescent="0.2">
      <c r="A3" s="456" t="s">
        <v>1133</v>
      </c>
      <c r="B3" s="4" t="s">
        <v>1</v>
      </c>
      <c r="C3" s="4" t="s">
        <v>2</v>
      </c>
      <c r="D3" s="4" t="s">
        <v>3</v>
      </c>
      <c r="E3" s="4" t="s">
        <v>4</v>
      </c>
      <c r="F3" s="11"/>
      <c r="G3" s="456" t="s">
        <v>1134</v>
      </c>
      <c r="H3" s="4" t="s">
        <v>5</v>
      </c>
      <c r="I3" s="4" t="s">
        <v>6</v>
      </c>
      <c r="J3" s="4" t="s">
        <v>7</v>
      </c>
      <c r="K3" s="4" t="s">
        <v>4</v>
      </c>
      <c r="L3" s="11"/>
      <c r="M3" s="456" t="s">
        <v>1132</v>
      </c>
      <c r="N3" s="5" t="s">
        <v>5</v>
      </c>
      <c r="O3" s="6" t="s">
        <v>8</v>
      </c>
      <c r="P3" s="562" t="s">
        <v>9</v>
      </c>
      <c r="Q3" s="562"/>
      <c r="R3" s="562"/>
      <c r="S3" s="26"/>
      <c r="T3" s="7"/>
      <c r="U3" s="7"/>
      <c r="V3" s="7"/>
      <c r="W3" s="7"/>
      <c r="X3" s="7"/>
    </row>
    <row r="4" spans="1:24" ht="96" customHeight="1" x14ac:dyDescent="0.2">
      <c r="A4" s="8" t="s">
        <v>10</v>
      </c>
      <c r="B4" s="8" t="s">
        <v>11</v>
      </c>
      <c r="C4" s="8" t="s">
        <v>12</v>
      </c>
      <c r="D4" s="9">
        <v>95460</v>
      </c>
      <c r="E4" s="14" t="s">
        <v>13</v>
      </c>
      <c r="F4" s="27"/>
      <c r="G4" s="561" t="s">
        <v>14</v>
      </c>
      <c r="H4" s="561"/>
      <c r="I4" s="10" t="s">
        <v>15</v>
      </c>
      <c r="J4" s="10" t="s">
        <v>16</v>
      </c>
      <c r="K4" s="455" t="s">
        <v>17</v>
      </c>
      <c r="L4" s="11"/>
      <c r="M4" s="12" t="s">
        <v>18</v>
      </c>
      <c r="N4" s="10" t="s">
        <v>19</v>
      </c>
      <c r="O4" s="13">
        <v>3</v>
      </c>
      <c r="P4" s="571" t="s">
        <v>1116</v>
      </c>
      <c r="Q4" s="561"/>
      <c r="R4" s="561"/>
      <c r="S4" s="26"/>
      <c r="T4" s="7"/>
      <c r="U4" s="7"/>
      <c r="V4" s="7"/>
      <c r="W4" s="7"/>
      <c r="X4" s="7"/>
    </row>
    <row r="5" spans="1:24" ht="45" customHeight="1" x14ac:dyDescent="0.2">
      <c r="A5" s="8" t="s">
        <v>10</v>
      </c>
      <c r="B5" s="8" t="s">
        <v>20</v>
      </c>
      <c r="C5" s="8" t="s">
        <v>21</v>
      </c>
      <c r="D5" s="451">
        <v>184.3</v>
      </c>
      <c r="E5" s="454" t="s">
        <v>22</v>
      </c>
      <c r="F5" s="452"/>
      <c r="G5" s="566" t="s">
        <v>23</v>
      </c>
      <c r="H5" s="566"/>
      <c r="I5" s="566"/>
      <c r="J5" s="566"/>
      <c r="K5" s="566"/>
      <c r="L5" s="16"/>
      <c r="M5" s="10" t="s">
        <v>24</v>
      </c>
      <c r="N5" s="10" t="s">
        <v>25</v>
      </c>
      <c r="O5" s="13">
        <v>3</v>
      </c>
      <c r="P5" s="561" t="s">
        <v>26</v>
      </c>
      <c r="Q5" s="561"/>
      <c r="R5" s="561"/>
      <c r="S5" s="26"/>
      <c r="T5" s="7"/>
      <c r="U5" s="7"/>
      <c r="V5" s="7"/>
      <c r="W5" s="7"/>
      <c r="X5" s="7"/>
    </row>
    <row r="6" spans="1:24" ht="45" customHeight="1" x14ac:dyDescent="0.2">
      <c r="A6" s="8" t="s">
        <v>10</v>
      </c>
      <c r="B6" s="8" t="s">
        <v>20</v>
      </c>
      <c r="C6" s="8" t="s">
        <v>27</v>
      </c>
      <c r="D6" s="451">
        <v>41907</v>
      </c>
      <c r="E6" s="454" t="s">
        <v>28</v>
      </c>
      <c r="F6" s="453"/>
      <c r="G6" s="23"/>
      <c r="H6" s="23"/>
      <c r="I6" s="23"/>
      <c r="J6" s="23"/>
      <c r="K6" s="23"/>
      <c r="L6" s="19"/>
      <c r="M6" s="10" t="s">
        <v>24</v>
      </c>
      <c r="N6" s="10" t="s">
        <v>29</v>
      </c>
      <c r="O6" s="13">
        <v>3</v>
      </c>
      <c r="P6" s="561" t="s">
        <v>30</v>
      </c>
      <c r="Q6" s="561"/>
      <c r="R6" s="561"/>
      <c r="S6" s="26"/>
      <c r="T6" s="7"/>
    </row>
    <row r="7" spans="1:24" ht="45" customHeight="1" x14ac:dyDescent="0.2">
      <c r="A7" s="8" t="s">
        <v>10</v>
      </c>
      <c r="B7" s="8" t="s">
        <v>20</v>
      </c>
      <c r="C7" s="8" t="s">
        <v>27</v>
      </c>
      <c r="D7" s="9">
        <v>116593</v>
      </c>
      <c r="E7" s="17" t="s">
        <v>31</v>
      </c>
      <c r="F7" s="18"/>
      <c r="G7" s="23"/>
      <c r="H7" s="23"/>
      <c r="I7" s="23"/>
      <c r="J7" s="23"/>
      <c r="K7" s="23"/>
      <c r="L7" s="19"/>
      <c r="M7" s="10" t="s">
        <v>32</v>
      </c>
      <c r="N7" s="10" t="s">
        <v>29</v>
      </c>
      <c r="O7" s="13">
        <v>3</v>
      </c>
      <c r="P7" s="561" t="s">
        <v>33</v>
      </c>
      <c r="Q7" s="561"/>
      <c r="R7" s="561"/>
      <c r="S7" s="26"/>
    </row>
    <row r="8" spans="1:24" ht="92.45" customHeight="1" x14ac:dyDescent="0.2">
      <c r="A8" s="8" t="s">
        <v>10</v>
      </c>
      <c r="B8" s="8" t="s">
        <v>20</v>
      </c>
      <c r="C8" s="8" t="s">
        <v>27</v>
      </c>
      <c r="D8" s="9">
        <v>22826</v>
      </c>
      <c r="E8" s="8" t="s">
        <v>34</v>
      </c>
      <c r="F8" s="18"/>
      <c r="G8" s="23"/>
      <c r="H8" s="23"/>
      <c r="I8" s="23"/>
      <c r="J8" s="23"/>
      <c r="K8" s="23"/>
      <c r="L8" s="19"/>
      <c r="M8" s="10" t="s">
        <v>35</v>
      </c>
      <c r="N8" s="10" t="s">
        <v>25</v>
      </c>
      <c r="O8" s="13">
        <v>3</v>
      </c>
      <c r="P8" s="561" t="s">
        <v>36</v>
      </c>
      <c r="Q8" s="561"/>
      <c r="R8" s="561"/>
      <c r="S8" s="26"/>
    </row>
    <row r="9" spans="1:24" ht="104.25" customHeight="1" x14ac:dyDescent="0.2">
      <c r="A9" s="570" t="s">
        <v>37</v>
      </c>
      <c r="B9" s="561"/>
      <c r="C9" s="570"/>
      <c r="D9" s="20">
        <f>SUM(D4:D8)</f>
        <v>276970.3</v>
      </c>
      <c r="E9" s="10"/>
      <c r="F9" s="18"/>
      <c r="G9" s="23"/>
      <c r="H9" s="23"/>
      <c r="I9" s="23"/>
      <c r="J9" s="23"/>
      <c r="K9" s="23"/>
      <c r="L9" s="19"/>
      <c r="M9" s="10" t="s">
        <v>38</v>
      </c>
      <c r="N9" s="10" t="s">
        <v>20</v>
      </c>
      <c r="O9" s="13">
        <v>3</v>
      </c>
      <c r="P9" s="571" t="s">
        <v>1131</v>
      </c>
      <c r="Q9" s="561"/>
      <c r="R9" s="561"/>
      <c r="S9" s="26"/>
    </row>
    <row r="10" spans="1:24" ht="66.599999999999994" customHeight="1" x14ac:dyDescent="0.2">
      <c r="A10" s="563" t="s">
        <v>39</v>
      </c>
      <c r="B10" s="563"/>
      <c r="C10" s="563"/>
      <c r="D10" s="563"/>
      <c r="E10" s="563"/>
      <c r="F10" s="23"/>
      <c r="G10" s="23"/>
      <c r="H10" s="23"/>
      <c r="I10" s="23"/>
      <c r="J10" s="23"/>
      <c r="K10" s="23"/>
      <c r="L10" s="16"/>
      <c r="M10" s="10" t="s">
        <v>40</v>
      </c>
      <c r="N10" s="10" t="s">
        <v>41</v>
      </c>
      <c r="O10" s="13">
        <v>3</v>
      </c>
      <c r="P10" s="567" t="s">
        <v>42</v>
      </c>
      <c r="Q10" s="567"/>
      <c r="R10" s="567"/>
      <c r="S10" s="26"/>
    </row>
    <row r="11" spans="1:24" ht="51.6" customHeight="1" x14ac:dyDescent="0.2">
      <c r="A11" s="23"/>
      <c r="B11" s="23"/>
      <c r="C11" s="23"/>
      <c r="D11" s="23"/>
      <c r="E11" s="23"/>
      <c r="F11" s="23"/>
      <c r="G11" s="23"/>
      <c r="H11" s="23"/>
      <c r="I11" s="23"/>
      <c r="J11" s="23"/>
      <c r="K11" s="23"/>
      <c r="L11" s="16"/>
      <c r="M11" s="10" t="s">
        <v>43</v>
      </c>
      <c r="N11" s="10" t="s">
        <v>44</v>
      </c>
      <c r="O11" s="13">
        <v>3</v>
      </c>
      <c r="P11" s="561" t="s">
        <v>45</v>
      </c>
      <c r="Q11" s="561"/>
      <c r="R11" s="561"/>
      <c r="S11" s="26"/>
    </row>
    <row r="12" spans="1:24" ht="66.599999999999994" customHeight="1" x14ac:dyDescent="0.2">
      <c r="A12" s="7"/>
      <c r="B12" s="7"/>
      <c r="C12" s="7"/>
      <c r="D12" s="7"/>
      <c r="E12" s="7"/>
      <c r="F12" s="23"/>
      <c r="G12" s="23"/>
      <c r="H12" s="23"/>
      <c r="I12" s="23"/>
      <c r="J12" s="23"/>
      <c r="K12" s="23"/>
      <c r="L12" s="16"/>
      <c r="M12" s="10" t="s">
        <v>46</v>
      </c>
      <c r="N12" s="10" t="s">
        <v>20</v>
      </c>
      <c r="O12" s="22">
        <v>3</v>
      </c>
      <c r="P12" s="568" t="s">
        <v>47</v>
      </c>
      <c r="Q12" s="568"/>
      <c r="R12" s="568"/>
      <c r="S12" s="26"/>
    </row>
    <row r="13" spans="1:24" ht="42" customHeight="1" x14ac:dyDescent="0.2">
      <c r="E13" s="7"/>
      <c r="F13" s="23"/>
      <c r="G13" s="23"/>
      <c r="H13" s="23"/>
      <c r="I13" s="23"/>
      <c r="J13" s="23"/>
      <c r="K13" s="23"/>
      <c r="L13" s="16"/>
      <c r="M13" s="10" t="s">
        <v>48</v>
      </c>
      <c r="N13" s="10" t="s">
        <v>20</v>
      </c>
      <c r="O13" s="392">
        <v>4</v>
      </c>
      <c r="P13" s="569" t="s">
        <v>49</v>
      </c>
      <c r="Q13" s="569"/>
      <c r="R13" s="569"/>
      <c r="S13" s="393"/>
    </row>
    <row r="14" spans="1:24" ht="78.2" customHeight="1" x14ac:dyDescent="0.2">
      <c r="A14" s="7"/>
      <c r="B14" s="7"/>
      <c r="C14" s="7"/>
      <c r="D14" s="7"/>
      <c r="E14" s="7"/>
      <c r="F14" s="23"/>
      <c r="G14" s="23"/>
      <c r="H14" s="23"/>
      <c r="I14" s="23"/>
      <c r="J14" s="23"/>
      <c r="K14" s="23"/>
      <c r="L14" s="16"/>
      <c r="M14" s="5" t="s">
        <v>50</v>
      </c>
      <c r="N14" s="13">
        <v>10</v>
      </c>
      <c r="O14" s="28"/>
      <c r="P14" s="391"/>
      <c r="Q14" s="391"/>
      <c r="R14" s="394"/>
    </row>
    <row r="15" spans="1:24" ht="63.95" customHeight="1" x14ac:dyDescent="0.2">
      <c r="A15" s="7"/>
      <c r="B15" s="7"/>
      <c r="C15" s="7"/>
      <c r="D15" s="7"/>
      <c r="E15" s="7"/>
      <c r="F15" s="23"/>
      <c r="G15" s="23"/>
      <c r="H15" s="23"/>
      <c r="I15" s="23"/>
      <c r="J15" s="23"/>
      <c r="K15" s="23"/>
      <c r="L15" s="23"/>
      <c r="M15" s="563" t="s">
        <v>51</v>
      </c>
      <c r="N15" s="563"/>
      <c r="O15" s="564"/>
      <c r="P15" s="564"/>
      <c r="Q15" s="564"/>
      <c r="R15" s="565"/>
    </row>
    <row r="16" spans="1:24" ht="29.1" customHeight="1" x14ac:dyDescent="0.2">
      <c r="A16" s="7"/>
      <c r="B16" s="7"/>
      <c r="C16" s="7"/>
      <c r="D16" s="7"/>
      <c r="E16" s="7"/>
      <c r="F16" s="23"/>
      <c r="G16" s="23"/>
      <c r="H16" s="23"/>
      <c r="I16" s="23"/>
      <c r="J16" s="23"/>
      <c r="K16" s="23"/>
      <c r="L16" s="23"/>
      <c r="M16" s="31"/>
      <c r="N16" s="31"/>
      <c r="O16" s="31"/>
      <c r="P16" s="31"/>
    </row>
    <row r="17" spans="1:16" ht="29.1" customHeight="1" x14ac:dyDescent="0.2">
      <c r="A17" s="7"/>
      <c r="B17" s="7"/>
      <c r="C17" s="7"/>
      <c r="D17" s="7"/>
      <c r="E17" s="7"/>
      <c r="F17" s="23"/>
      <c r="G17" s="23"/>
      <c r="H17" s="23"/>
      <c r="I17" s="23"/>
      <c r="J17" s="23"/>
      <c r="K17" s="23"/>
      <c r="L17" s="23"/>
      <c r="M17" s="23"/>
      <c r="N17" s="23"/>
      <c r="O17" s="23"/>
      <c r="P17" s="23"/>
    </row>
    <row r="18" spans="1:16" ht="29.1" customHeight="1" x14ac:dyDescent="0.2">
      <c r="A18" s="7"/>
      <c r="D18" s="7"/>
      <c r="F18" s="23"/>
      <c r="G18" s="23"/>
      <c r="H18" s="23"/>
      <c r="I18" s="23"/>
      <c r="J18" s="23"/>
      <c r="K18" s="23"/>
      <c r="L18" s="23"/>
      <c r="M18" s="23"/>
      <c r="N18" s="23"/>
      <c r="O18" s="23"/>
      <c r="P18" s="23"/>
    </row>
    <row r="19" spans="1:16" ht="29.1" customHeight="1" x14ac:dyDescent="0.2">
      <c r="A19" s="7"/>
      <c r="F19" s="23"/>
      <c r="G19" s="23"/>
      <c r="H19" s="23"/>
      <c r="I19" s="23"/>
      <c r="J19" s="23"/>
      <c r="K19" s="23"/>
      <c r="L19" s="23"/>
      <c r="M19" s="23"/>
      <c r="N19" s="23"/>
      <c r="O19" s="23"/>
      <c r="P19" s="23"/>
    </row>
    <row r="20" spans="1:16" ht="39.950000000000003" customHeight="1" x14ac:dyDescent="0.2">
      <c r="A20" s="32"/>
      <c r="B20" s="32"/>
      <c r="C20" s="32"/>
      <c r="D20" s="32"/>
      <c r="E20" s="32"/>
      <c r="F20" s="23"/>
      <c r="G20" s="23"/>
      <c r="H20" s="23"/>
      <c r="I20" s="23"/>
      <c r="J20" s="23"/>
      <c r="K20" s="23"/>
      <c r="L20" s="23"/>
      <c r="M20" s="23"/>
      <c r="N20" s="23"/>
      <c r="O20" s="23"/>
      <c r="P20" s="23"/>
    </row>
    <row r="21" spans="1:16" ht="66.599999999999994" customHeight="1" x14ac:dyDescent="0.2">
      <c r="A21" s="7"/>
      <c r="B21" s="7"/>
      <c r="C21" s="7"/>
      <c r="F21" s="23"/>
      <c r="G21" s="23"/>
      <c r="H21" s="23"/>
      <c r="I21" s="23"/>
      <c r="J21" s="23"/>
      <c r="K21" s="23"/>
      <c r="L21" s="23"/>
      <c r="M21" s="23"/>
      <c r="N21" s="23"/>
      <c r="O21" s="23"/>
      <c r="P21" s="23"/>
    </row>
    <row r="22" spans="1:16" ht="69.95" customHeight="1" x14ac:dyDescent="0.2">
      <c r="A22" s="7"/>
      <c r="B22" s="7"/>
      <c r="C22" s="7"/>
      <c r="F22" s="23"/>
      <c r="G22" s="23"/>
      <c r="H22" s="23"/>
      <c r="I22" s="23"/>
      <c r="J22" s="23"/>
      <c r="K22" s="23"/>
      <c r="L22" s="23"/>
      <c r="M22" s="23"/>
      <c r="N22" s="23"/>
      <c r="O22" s="23"/>
      <c r="P22" s="23"/>
    </row>
    <row r="23" spans="1:16" ht="43.35" customHeight="1" x14ac:dyDescent="0.2">
      <c r="A23" s="7"/>
      <c r="B23" s="7"/>
      <c r="C23" s="7"/>
      <c r="F23" s="23"/>
      <c r="G23" s="23"/>
      <c r="H23" s="23"/>
      <c r="I23" s="23"/>
      <c r="J23" s="23"/>
      <c r="K23" s="23"/>
      <c r="L23" s="23"/>
      <c r="M23" s="23"/>
      <c r="N23" s="23"/>
      <c r="O23" s="23"/>
      <c r="P23" s="23"/>
    </row>
    <row r="24" spans="1:16" ht="43.35" customHeight="1" x14ac:dyDescent="0.2">
      <c r="A24" s="7"/>
      <c r="B24" s="7"/>
      <c r="C24" s="7"/>
      <c r="F24" s="23"/>
      <c r="G24" s="23"/>
      <c r="H24" s="23"/>
      <c r="I24" s="23"/>
      <c r="J24" s="23"/>
      <c r="K24" s="23"/>
      <c r="L24" s="23"/>
      <c r="M24" s="23"/>
      <c r="N24" s="23"/>
      <c r="O24" s="23"/>
      <c r="P24" s="23"/>
    </row>
    <row r="25" spans="1:16" ht="43.35" customHeight="1" x14ac:dyDescent="0.2">
      <c r="A25" s="7"/>
      <c r="B25" s="7"/>
      <c r="C25" s="7"/>
      <c r="F25" s="23"/>
      <c r="G25" s="23"/>
      <c r="H25" s="23"/>
      <c r="I25" s="23"/>
      <c r="J25" s="23"/>
      <c r="K25" s="23"/>
      <c r="L25" s="23"/>
      <c r="M25" s="23"/>
      <c r="N25" s="23"/>
      <c r="O25" s="23"/>
      <c r="P25" s="23"/>
    </row>
    <row r="26" spans="1:16" ht="43.35" customHeight="1" x14ac:dyDescent="0.2">
      <c r="A26" s="7"/>
      <c r="F26" s="23"/>
      <c r="G26" s="23"/>
      <c r="H26" s="23"/>
      <c r="I26" s="23"/>
      <c r="J26" s="23"/>
      <c r="K26" s="23"/>
      <c r="L26" s="23"/>
      <c r="M26" s="23"/>
      <c r="N26" s="23"/>
      <c r="O26" s="23"/>
      <c r="P26" s="23"/>
    </row>
    <row r="27" spans="1:16" ht="69.2" customHeight="1" x14ac:dyDescent="0.2">
      <c r="A27" s="23"/>
      <c r="B27" s="23"/>
      <c r="C27" s="23"/>
      <c r="D27" s="33"/>
      <c r="E27" s="23"/>
      <c r="F27" s="23"/>
      <c r="G27" s="23"/>
      <c r="H27" s="23"/>
      <c r="I27" s="23"/>
      <c r="J27" s="23"/>
      <c r="K27" s="23"/>
      <c r="L27" s="23"/>
      <c r="M27" s="23"/>
      <c r="N27" s="23"/>
      <c r="O27" s="23"/>
      <c r="P27" s="23"/>
    </row>
    <row r="28" spans="1:16" ht="66.599999999999994" customHeight="1" x14ac:dyDescent="0.2">
      <c r="A28" s="7"/>
      <c r="B28" s="7"/>
      <c r="C28" s="7"/>
      <c r="D28" s="7"/>
      <c r="E28" s="7"/>
      <c r="F28" s="23"/>
      <c r="G28" s="23"/>
      <c r="H28" s="23"/>
      <c r="I28" s="23"/>
      <c r="J28" s="23"/>
      <c r="K28" s="23"/>
      <c r="L28" s="23"/>
      <c r="M28" s="23"/>
      <c r="N28" s="23"/>
      <c r="O28" s="23"/>
      <c r="P28" s="23"/>
    </row>
    <row r="29" spans="1:16" ht="58.35" customHeight="1" x14ac:dyDescent="0.2">
      <c r="A29" s="7"/>
      <c r="B29" s="7"/>
      <c r="C29" s="7"/>
      <c r="D29" s="7"/>
      <c r="E29" s="7"/>
      <c r="F29" s="34"/>
      <c r="L29" s="23"/>
      <c r="M29" s="23"/>
      <c r="N29" s="23"/>
      <c r="O29" s="23"/>
      <c r="P29" s="23"/>
    </row>
    <row r="30" spans="1:16" ht="44.1" customHeight="1" x14ac:dyDescent="0.2">
      <c r="A30" s="7"/>
      <c r="B30" s="7"/>
      <c r="C30" s="7"/>
      <c r="D30" s="7"/>
      <c r="E30" s="7"/>
      <c r="F30" s="23"/>
      <c r="L30" s="23"/>
      <c r="M30" s="23"/>
      <c r="N30" s="23"/>
      <c r="O30" s="23"/>
      <c r="P30" s="23"/>
    </row>
    <row r="31" spans="1:16" ht="134.1" customHeight="1" x14ac:dyDescent="0.2">
      <c r="A31" s="7"/>
      <c r="F31" s="23"/>
      <c r="L31" s="23"/>
      <c r="M31" s="23"/>
      <c r="N31" s="23"/>
      <c r="O31" s="23"/>
      <c r="P31" s="23"/>
    </row>
    <row r="32" spans="1:16" ht="39.950000000000003" customHeight="1" x14ac:dyDescent="0.2">
      <c r="F32" s="35"/>
      <c r="L32" s="23"/>
      <c r="M32" s="23"/>
      <c r="N32" s="23"/>
      <c r="O32" s="23"/>
      <c r="P32" s="23"/>
    </row>
    <row r="33" spans="13:16" ht="15" customHeight="1" x14ac:dyDescent="0.2">
      <c r="M33" s="23"/>
      <c r="N33" s="23"/>
      <c r="O33" s="23"/>
      <c r="P33" s="23"/>
    </row>
    <row r="34" spans="13:16" ht="15" customHeight="1" x14ac:dyDescent="0.2">
      <c r="M34" s="23"/>
      <c r="N34" s="23"/>
      <c r="O34" s="23"/>
      <c r="P34" s="23"/>
    </row>
    <row r="35" spans="13:16" ht="15" customHeight="1" x14ac:dyDescent="0.2">
      <c r="M35" s="23"/>
      <c r="N35" s="23"/>
      <c r="O35" s="23"/>
      <c r="P35" s="23"/>
    </row>
    <row r="36" spans="13:16" ht="15" customHeight="1" x14ac:dyDescent="0.2">
      <c r="M36" s="23"/>
      <c r="N36" s="23"/>
      <c r="O36" s="23"/>
      <c r="P36" s="23"/>
    </row>
    <row r="37" spans="13:16" ht="15" customHeight="1" x14ac:dyDescent="0.2">
      <c r="M37" s="23"/>
      <c r="N37" s="23"/>
      <c r="O37" s="23"/>
      <c r="P37" s="23"/>
    </row>
    <row r="38" spans="13:16" ht="15" customHeight="1" x14ac:dyDescent="0.2">
      <c r="M38" s="23"/>
      <c r="N38" s="23"/>
      <c r="O38" s="23"/>
      <c r="P38" s="23"/>
    </row>
    <row r="39" spans="13:16" ht="15" customHeight="1" x14ac:dyDescent="0.2"/>
    <row r="40" spans="13:16" ht="15" customHeight="1" x14ac:dyDescent="0.2"/>
    <row r="41" spans="13:16" ht="15" customHeight="1" x14ac:dyDescent="0.2"/>
    <row r="42" spans="13:16" ht="15" customHeight="1" x14ac:dyDescent="0.2"/>
    <row r="43" spans="13:16" ht="15" customHeight="1" x14ac:dyDescent="0.2"/>
    <row r="44" spans="13:16" ht="15" customHeight="1" x14ac:dyDescent="0.2"/>
    <row r="45" spans="13:16" ht="15" customHeight="1" x14ac:dyDescent="0.2"/>
    <row r="46" spans="13:16" ht="15" customHeight="1" x14ac:dyDescent="0.2"/>
    <row r="47" spans="13:16" ht="15" customHeight="1" x14ac:dyDescent="0.2"/>
    <row r="48" spans="13: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sheetData>
  <sheetProtection algorithmName="SHA-512" hashValue="/icIXDTRccz85bxwUFUTN05utcm77TJCwoRco+9CdnyEw6gFdbhFMYJ9YbDtvI1uq/+V3+JST83/noKzA7tFzA==" saltValue="kveLfxbF1gExWR2b/KrypQ==" spinCount="100000" sheet="1" objects="1" scenarios="1"/>
  <mergeCells count="17">
    <mergeCell ref="A10:E10"/>
    <mergeCell ref="A9:C9"/>
    <mergeCell ref="P4:R4"/>
    <mergeCell ref="P7:R7"/>
    <mergeCell ref="P8:R8"/>
    <mergeCell ref="P9:R9"/>
    <mergeCell ref="M15:R15"/>
    <mergeCell ref="G5:K5"/>
    <mergeCell ref="P10:R10"/>
    <mergeCell ref="P11:R11"/>
    <mergeCell ref="P12:R12"/>
    <mergeCell ref="P13:R13"/>
    <mergeCell ref="A1:C1"/>
    <mergeCell ref="G4:H4"/>
    <mergeCell ref="P3:R3"/>
    <mergeCell ref="P5:R5"/>
    <mergeCell ref="P6:R6"/>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3"/>
  <sheetViews>
    <sheetView showGridLines="0" showRuler="0" workbookViewId="0">
      <selection activeCell="C10" sqref="C10"/>
    </sheetView>
  </sheetViews>
  <sheetFormatPr defaultColWidth="13.140625" defaultRowHeight="12.75" x14ac:dyDescent="0.2"/>
  <cols>
    <col min="1" max="1" width="26.140625" customWidth="1"/>
    <col min="2" max="5" width="28" customWidth="1"/>
    <col min="6" max="6" width="14.42578125" customWidth="1"/>
  </cols>
  <sheetData>
    <row r="1" spans="1:6" ht="15.75" x14ac:dyDescent="0.25">
      <c r="A1" s="560" t="s">
        <v>642</v>
      </c>
      <c r="B1" s="560"/>
      <c r="C1" s="560"/>
      <c r="D1" s="560"/>
      <c r="E1" s="23"/>
      <c r="F1" s="23"/>
    </row>
    <row r="2" spans="1:6" x14ac:dyDescent="0.2">
      <c r="A2" s="24"/>
      <c r="B2" s="24"/>
      <c r="C2" s="24"/>
      <c r="D2" s="24"/>
      <c r="E2" s="24"/>
      <c r="F2" s="23"/>
    </row>
    <row r="3" spans="1:6" ht="73.349999999999994" customHeight="1" x14ac:dyDescent="0.2">
      <c r="A3" s="461" t="s">
        <v>1190</v>
      </c>
      <c r="B3" s="4" t="s">
        <v>188</v>
      </c>
      <c r="C3" s="4" t="s">
        <v>643</v>
      </c>
      <c r="D3" s="4" t="s">
        <v>644</v>
      </c>
      <c r="E3" s="4" t="s">
        <v>645</v>
      </c>
      <c r="F3" s="57"/>
    </row>
    <row r="4" spans="1:6" ht="21.6" customHeight="1" x14ac:dyDescent="0.2">
      <c r="A4" s="623" t="s">
        <v>154</v>
      </c>
      <c r="B4" s="212" t="s">
        <v>72</v>
      </c>
      <c r="C4" s="301"/>
      <c r="D4" s="301"/>
      <c r="E4" s="301"/>
      <c r="F4" s="57"/>
    </row>
    <row r="5" spans="1:6" ht="21.6" customHeight="1" x14ac:dyDescent="0.2">
      <c r="A5" s="623"/>
      <c r="B5" s="219" t="s">
        <v>41</v>
      </c>
      <c r="C5" s="218" t="s">
        <v>197</v>
      </c>
      <c r="D5" s="218" t="s">
        <v>197</v>
      </c>
      <c r="E5" s="218" t="s">
        <v>223</v>
      </c>
      <c r="F5" s="57"/>
    </row>
    <row r="6" spans="1:6" ht="21.6" customHeight="1" x14ac:dyDescent="0.2">
      <c r="A6" s="623"/>
      <c r="B6" s="219" t="s">
        <v>158</v>
      </c>
      <c r="C6" s="218" t="s">
        <v>197</v>
      </c>
      <c r="D6" s="218" t="s">
        <v>197</v>
      </c>
      <c r="E6" s="218" t="s">
        <v>223</v>
      </c>
      <c r="F6" s="57"/>
    </row>
    <row r="7" spans="1:6" ht="21.6" customHeight="1" x14ac:dyDescent="0.2">
      <c r="A7" s="623" t="s">
        <v>160</v>
      </c>
      <c r="B7" s="212" t="s">
        <v>79</v>
      </c>
      <c r="C7" s="208"/>
      <c r="D7" s="208"/>
      <c r="E7" s="208"/>
      <c r="F7" s="57"/>
    </row>
    <row r="8" spans="1:6" ht="21.6" customHeight="1" x14ac:dyDescent="0.2">
      <c r="A8" s="623"/>
      <c r="B8" s="219" t="s">
        <v>19</v>
      </c>
      <c r="C8" s="218" t="s">
        <v>197</v>
      </c>
      <c r="D8" s="218" t="s">
        <v>197</v>
      </c>
      <c r="E8" s="218" t="s">
        <v>223</v>
      </c>
      <c r="F8" s="57"/>
    </row>
    <row r="9" spans="1:6" ht="21.6" customHeight="1" x14ac:dyDescent="0.2">
      <c r="A9" s="623"/>
      <c r="B9" s="212" t="s">
        <v>82</v>
      </c>
      <c r="C9" s="208"/>
      <c r="D9" s="208"/>
      <c r="E9" s="208"/>
      <c r="F9" s="57"/>
    </row>
    <row r="10" spans="1:6" ht="21.6" customHeight="1" x14ac:dyDescent="0.2">
      <c r="A10" s="623"/>
      <c r="B10" s="219" t="s">
        <v>163</v>
      </c>
      <c r="C10" s="218" t="s">
        <v>197</v>
      </c>
      <c r="D10" s="218" t="s">
        <v>197</v>
      </c>
      <c r="E10" s="218" t="s">
        <v>223</v>
      </c>
      <c r="F10" s="57"/>
    </row>
    <row r="11" spans="1:6" ht="21.6" customHeight="1" x14ac:dyDescent="0.2">
      <c r="A11" s="623"/>
      <c r="B11" s="219" t="s">
        <v>164</v>
      </c>
      <c r="C11" s="218" t="s">
        <v>197</v>
      </c>
      <c r="D11" s="218" t="s">
        <v>197</v>
      </c>
      <c r="E11" s="218" t="s">
        <v>223</v>
      </c>
      <c r="F11" s="57"/>
    </row>
    <row r="12" spans="1:6" ht="21.6" customHeight="1" x14ac:dyDescent="0.2">
      <c r="A12" s="623"/>
      <c r="B12" s="219" t="s">
        <v>29</v>
      </c>
      <c r="C12" s="218" t="s">
        <v>197</v>
      </c>
      <c r="D12" s="218" t="s">
        <v>197</v>
      </c>
      <c r="E12" s="218" t="s">
        <v>223</v>
      </c>
      <c r="F12" s="57"/>
    </row>
    <row r="13" spans="1:6" ht="21.6" customHeight="1" x14ac:dyDescent="0.2">
      <c r="A13" s="623"/>
      <c r="B13" s="212" t="s">
        <v>86</v>
      </c>
      <c r="C13" s="208"/>
      <c r="D13" s="208"/>
      <c r="E13" s="208"/>
      <c r="F13" s="57"/>
    </row>
    <row r="14" spans="1:6" ht="21.6" customHeight="1" x14ac:dyDescent="0.2">
      <c r="A14" s="623"/>
      <c r="B14" s="219" t="s">
        <v>25</v>
      </c>
      <c r="C14" s="218" t="s">
        <v>197</v>
      </c>
      <c r="D14" s="218" t="s">
        <v>197</v>
      </c>
      <c r="E14" s="218" t="s">
        <v>197</v>
      </c>
      <c r="F14" s="57"/>
    </row>
    <row r="15" spans="1:6" ht="21.6" customHeight="1" x14ac:dyDescent="0.2">
      <c r="A15" s="623" t="s">
        <v>166</v>
      </c>
      <c r="B15" s="212" t="s">
        <v>89</v>
      </c>
      <c r="C15" s="208"/>
      <c r="D15" s="208"/>
      <c r="E15" s="208"/>
      <c r="F15" s="57"/>
    </row>
    <row r="16" spans="1:6" ht="21.6" customHeight="1" x14ac:dyDescent="0.2">
      <c r="A16" s="623"/>
      <c r="B16" s="219" t="s">
        <v>11</v>
      </c>
      <c r="C16" s="218" t="s">
        <v>197</v>
      </c>
      <c r="D16" s="218" t="s">
        <v>197</v>
      </c>
      <c r="E16" s="218" t="s">
        <v>223</v>
      </c>
      <c r="F16" s="57"/>
    </row>
    <row r="17" spans="1:6" ht="21.6" customHeight="1" x14ac:dyDescent="0.2">
      <c r="A17" s="623"/>
      <c r="B17" s="212" t="s">
        <v>94</v>
      </c>
      <c r="C17" s="208"/>
      <c r="D17" s="208"/>
      <c r="E17" s="208"/>
      <c r="F17" s="57"/>
    </row>
    <row r="18" spans="1:6" ht="21.6" customHeight="1" x14ac:dyDescent="0.2">
      <c r="A18" s="623"/>
      <c r="B18" s="219" t="s">
        <v>167</v>
      </c>
      <c r="C18" s="218" t="s">
        <v>197</v>
      </c>
      <c r="D18" s="218" t="s">
        <v>197</v>
      </c>
      <c r="E18" s="218" t="s">
        <v>223</v>
      </c>
      <c r="F18" s="57"/>
    </row>
    <row r="19" spans="1:6" ht="21.6" customHeight="1" x14ac:dyDescent="0.2">
      <c r="A19" s="623"/>
      <c r="B19" s="212" t="s">
        <v>97</v>
      </c>
      <c r="C19" s="208"/>
      <c r="D19" s="208"/>
      <c r="E19" s="208"/>
      <c r="F19" s="57"/>
    </row>
    <row r="20" spans="1:6" ht="21.6" customHeight="1" x14ac:dyDescent="0.2">
      <c r="A20" s="623"/>
      <c r="B20" s="219" t="s">
        <v>20</v>
      </c>
      <c r="C20" s="218" t="s">
        <v>197</v>
      </c>
      <c r="D20" s="218" t="s">
        <v>197</v>
      </c>
      <c r="E20" s="218" t="s">
        <v>223</v>
      </c>
      <c r="F20" s="57"/>
    </row>
    <row r="21" spans="1:6" ht="21.6" customHeight="1" x14ac:dyDescent="0.2">
      <c r="A21" s="623" t="s">
        <v>168</v>
      </c>
      <c r="B21" s="212" t="s">
        <v>76</v>
      </c>
      <c r="C21" s="208"/>
      <c r="D21" s="208"/>
      <c r="E21" s="208"/>
      <c r="F21" s="57"/>
    </row>
    <row r="22" spans="1:6" ht="21.6" customHeight="1" x14ac:dyDescent="0.2">
      <c r="A22" s="623"/>
      <c r="B22" s="219" t="s">
        <v>169</v>
      </c>
      <c r="C22" s="218" t="s">
        <v>197</v>
      </c>
      <c r="D22" s="218" t="s">
        <v>197</v>
      </c>
      <c r="E22" s="218" t="s">
        <v>223</v>
      </c>
      <c r="F22" s="57"/>
    </row>
    <row r="23" spans="1:6" ht="21.6" customHeight="1" x14ac:dyDescent="0.2">
      <c r="A23" s="623"/>
      <c r="B23" s="219" t="s">
        <v>14</v>
      </c>
      <c r="C23" s="218" t="s">
        <v>197</v>
      </c>
      <c r="D23" s="218" t="s">
        <v>197</v>
      </c>
      <c r="E23" s="218" t="s">
        <v>223</v>
      </c>
      <c r="F23" s="57"/>
    </row>
    <row r="24" spans="1:6" ht="62.45" customHeight="1" x14ac:dyDescent="0.2">
      <c r="A24" s="563" t="s">
        <v>646</v>
      </c>
      <c r="B24" s="575"/>
      <c r="C24" s="575"/>
      <c r="D24" s="634"/>
      <c r="E24" s="634"/>
      <c r="F24" s="23"/>
    </row>
    <row r="25" spans="1:6" ht="14.1" customHeight="1" x14ac:dyDescent="0.2">
      <c r="A25" s="23"/>
      <c r="B25" s="23"/>
      <c r="C25" s="23"/>
      <c r="F25" s="23"/>
    </row>
    <row r="26" spans="1:6" ht="14.1" customHeight="1" x14ac:dyDescent="0.2">
      <c r="A26" s="23"/>
      <c r="B26" s="23"/>
      <c r="C26" s="23"/>
      <c r="D26" s="23"/>
      <c r="E26" s="23"/>
      <c r="F26" s="23"/>
    </row>
    <row r="27" spans="1:6" ht="14.1" customHeight="1" x14ac:dyDescent="0.2">
      <c r="A27" s="23"/>
      <c r="B27" s="23"/>
      <c r="C27" s="23"/>
      <c r="D27" s="23"/>
      <c r="E27" s="23"/>
      <c r="F27" s="23"/>
    </row>
    <row r="28" spans="1:6" ht="14.1" customHeight="1" x14ac:dyDescent="0.2">
      <c r="A28" s="23"/>
      <c r="B28" s="23"/>
      <c r="C28" s="23"/>
      <c r="D28" s="23"/>
      <c r="E28" s="23"/>
      <c r="F28" s="23"/>
    </row>
    <row r="29" spans="1:6" ht="14.1" customHeight="1" x14ac:dyDescent="0.2">
      <c r="A29" s="23"/>
      <c r="B29" s="23"/>
      <c r="C29" s="23"/>
      <c r="D29" s="23"/>
      <c r="E29" s="23"/>
      <c r="F29" s="23"/>
    </row>
    <row r="30" spans="1:6" ht="14.1" customHeight="1" x14ac:dyDescent="0.2">
      <c r="A30" s="23"/>
      <c r="B30" s="23"/>
      <c r="C30" s="23"/>
      <c r="D30" s="23"/>
      <c r="E30" s="23"/>
      <c r="F30" s="23"/>
    </row>
    <row r="31" spans="1:6" ht="14.1" customHeight="1" x14ac:dyDescent="0.2">
      <c r="A31" s="23"/>
      <c r="B31" s="23"/>
      <c r="C31" s="23"/>
      <c r="D31" s="23"/>
      <c r="E31" s="23"/>
      <c r="F31" s="23"/>
    </row>
    <row r="32" spans="1:6" ht="14.1" customHeight="1" x14ac:dyDescent="0.2">
      <c r="A32" s="23"/>
      <c r="B32" s="23"/>
      <c r="C32" s="23"/>
      <c r="D32" s="33"/>
      <c r="E32" s="23"/>
      <c r="F32" s="23"/>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sheetProtection algorithmName="SHA-512" hashValue="gOdH9KJNkkW3TPteCRGNYDyuElHU3i+hrYdWvUnlHUGN6rkxNx4C0cirfHf03lNwg0oX9/p90jolZBZg9FkVOQ==" saltValue="pDj6B3Q9NLtvu0NGhgwr0A==" spinCount="100000" sheet="1" objects="1" scenarios="1"/>
  <mergeCells count="6">
    <mergeCell ref="A24:E24"/>
    <mergeCell ref="A1:D1"/>
    <mergeCell ref="A4:A6"/>
    <mergeCell ref="A7:A14"/>
    <mergeCell ref="A15:A20"/>
    <mergeCell ref="A21: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51"/>
  <sheetViews>
    <sheetView showGridLines="0" showRuler="0" zoomScaleNormal="100" workbookViewId="0">
      <selection activeCell="C10" sqref="C10"/>
    </sheetView>
  </sheetViews>
  <sheetFormatPr defaultColWidth="13.140625" defaultRowHeight="12.75" x14ac:dyDescent="0.2"/>
  <cols>
    <col min="1" max="1" width="26.140625" customWidth="1"/>
    <col min="2" max="2" width="22.85546875" customWidth="1"/>
    <col min="3" max="3" width="78.28515625" customWidth="1"/>
    <col min="4" max="4" width="102.5703125" customWidth="1"/>
    <col min="5" max="5" width="78.28515625" customWidth="1"/>
    <col min="6" max="6" width="98.42578125" customWidth="1"/>
    <col min="7" max="7" width="78.28515625" customWidth="1"/>
    <col min="8" max="8" width="98.42578125" customWidth="1"/>
    <col min="9" max="14" width="73.42578125" customWidth="1"/>
    <col min="15" max="18" width="14.42578125" customWidth="1"/>
  </cols>
  <sheetData>
    <row r="1" spans="1:26" s="474" customFormat="1" ht="15.75" x14ac:dyDescent="0.25">
      <c r="A1" s="700" t="s">
        <v>647</v>
      </c>
      <c r="B1" s="700"/>
      <c r="C1" s="700"/>
      <c r="D1" s="700"/>
      <c r="E1" s="394"/>
      <c r="F1" s="394"/>
      <c r="G1" s="394"/>
      <c r="H1" s="394"/>
      <c r="I1" s="394"/>
      <c r="J1" s="394"/>
      <c r="K1" s="394"/>
      <c r="L1" s="394"/>
      <c r="M1" s="394"/>
      <c r="N1" s="394"/>
      <c r="O1" s="394"/>
      <c r="P1" s="394"/>
      <c r="Q1" s="394"/>
      <c r="R1" s="394"/>
      <c r="S1" s="393"/>
      <c r="T1" s="393"/>
      <c r="U1" s="393"/>
      <c r="V1" s="393"/>
      <c r="W1" s="393"/>
      <c r="X1" s="393"/>
      <c r="Y1" s="393"/>
      <c r="Z1" s="393"/>
    </row>
    <row r="2" spans="1:26" s="438" customFormat="1" ht="15.75" x14ac:dyDescent="0.25">
      <c r="A2" s="457"/>
      <c r="B2" s="457"/>
      <c r="C2" s="473"/>
      <c r="D2" s="473"/>
      <c r="E2" s="24"/>
      <c r="F2" s="24"/>
      <c r="G2" s="24"/>
      <c r="H2" s="24"/>
      <c r="I2" s="436"/>
      <c r="J2" s="436"/>
      <c r="K2" s="436"/>
      <c r="L2" s="436"/>
      <c r="M2" s="436"/>
      <c r="N2" s="436"/>
      <c r="O2" s="436"/>
      <c r="P2" s="436"/>
      <c r="Q2" s="436"/>
      <c r="R2" s="436"/>
      <c r="S2" s="439"/>
      <c r="T2" s="439"/>
      <c r="U2" s="439"/>
      <c r="V2" s="439"/>
      <c r="W2" s="439"/>
      <c r="X2" s="439"/>
      <c r="Y2" s="439"/>
      <c r="Z2" s="439"/>
    </row>
    <row r="3" spans="1:26" ht="20.25" x14ac:dyDescent="0.3">
      <c r="A3" s="2"/>
      <c r="B3" s="304"/>
      <c r="C3" s="702" t="s">
        <v>648</v>
      </c>
      <c r="D3" s="702"/>
      <c r="E3" s="702"/>
      <c r="F3" s="702"/>
      <c r="G3" s="702"/>
      <c r="H3" s="703"/>
      <c r="I3" s="7"/>
      <c r="J3" s="7"/>
      <c r="K3" s="7"/>
      <c r="L3" s="7"/>
      <c r="M3" s="7"/>
      <c r="N3" s="7"/>
      <c r="O3" s="23"/>
      <c r="P3" s="23"/>
      <c r="Q3" s="23"/>
      <c r="R3" s="23"/>
      <c r="S3" s="7"/>
      <c r="T3" s="7"/>
      <c r="U3" s="7"/>
      <c r="V3" s="7"/>
      <c r="W3" s="7"/>
      <c r="X3" s="7"/>
      <c r="Y3" s="7"/>
      <c r="Z3" s="7"/>
    </row>
    <row r="4" spans="1:26" ht="52.5" x14ac:dyDescent="0.2">
      <c r="A4" s="39" t="s">
        <v>649</v>
      </c>
      <c r="B4" s="4" t="s">
        <v>188</v>
      </c>
      <c r="C4" s="4" t="s">
        <v>650</v>
      </c>
      <c r="D4" s="4" t="s">
        <v>651</v>
      </c>
      <c r="E4" s="4" t="s">
        <v>652</v>
      </c>
      <c r="F4" s="4" t="s">
        <v>653</v>
      </c>
      <c r="G4" s="4" t="s">
        <v>654</v>
      </c>
      <c r="H4" s="4" t="s">
        <v>655</v>
      </c>
      <c r="I4" s="26"/>
      <c r="J4" s="7"/>
      <c r="K4" s="7"/>
      <c r="L4" s="7"/>
      <c r="M4" s="7"/>
      <c r="N4" s="7"/>
      <c r="O4" s="23"/>
      <c r="P4" s="23"/>
      <c r="Q4" s="23"/>
      <c r="R4" s="23"/>
      <c r="S4" s="7"/>
      <c r="T4" s="7"/>
      <c r="U4" s="7"/>
      <c r="V4" s="7"/>
      <c r="W4" s="7"/>
      <c r="X4" s="7"/>
      <c r="Y4" s="7"/>
      <c r="Z4" s="7"/>
    </row>
    <row r="5" spans="1:26" x14ac:dyDescent="0.2">
      <c r="A5" s="625" t="s">
        <v>154</v>
      </c>
      <c r="B5" s="212" t="s">
        <v>72</v>
      </c>
      <c r="C5" s="301"/>
      <c r="D5" s="301"/>
      <c r="E5" s="301"/>
      <c r="F5" s="301"/>
      <c r="G5" s="301"/>
      <c r="H5" s="301"/>
      <c r="I5" s="26"/>
      <c r="J5" s="7"/>
      <c r="K5" s="7"/>
      <c r="L5" s="7"/>
      <c r="M5" s="7"/>
      <c r="N5" s="7"/>
      <c r="O5" s="23"/>
      <c r="P5" s="23"/>
      <c r="Q5" s="23"/>
      <c r="R5" s="23"/>
      <c r="S5" s="7"/>
      <c r="T5" s="7"/>
      <c r="U5" s="7"/>
      <c r="V5" s="7"/>
      <c r="W5" s="7"/>
      <c r="X5" s="7"/>
      <c r="Y5" s="7"/>
      <c r="Z5" s="7"/>
    </row>
    <row r="6" spans="1:26" ht="63.75" x14ac:dyDescent="0.2">
      <c r="A6" s="626"/>
      <c r="B6" s="305" t="s">
        <v>41</v>
      </c>
      <c r="C6" s="46" t="s">
        <v>656</v>
      </c>
      <c r="D6" s="475" t="s">
        <v>1191</v>
      </c>
      <c r="E6" s="46" t="s">
        <v>657</v>
      </c>
      <c r="F6" s="46" t="s">
        <v>658</v>
      </c>
      <c r="G6" s="46" t="s">
        <v>659</v>
      </c>
      <c r="H6" s="46" t="s">
        <v>660</v>
      </c>
      <c r="I6" s="26"/>
      <c r="J6" s="7"/>
      <c r="K6" s="7"/>
      <c r="L6" s="7"/>
      <c r="M6" s="7"/>
      <c r="N6" s="7"/>
      <c r="O6" s="23"/>
      <c r="P6" s="23"/>
      <c r="Q6" s="23"/>
      <c r="R6" s="23"/>
      <c r="S6" s="23"/>
      <c r="T6" s="23"/>
      <c r="U6" s="23"/>
      <c r="V6" s="23"/>
      <c r="W6" s="7"/>
      <c r="X6" s="7"/>
      <c r="Y6" s="7"/>
      <c r="Z6" s="7"/>
    </row>
    <row r="7" spans="1:26" x14ac:dyDescent="0.2">
      <c r="A7" s="626" t="s">
        <v>160</v>
      </c>
      <c r="B7" s="212" t="s">
        <v>79</v>
      </c>
      <c r="C7" s="306"/>
      <c r="D7" s="306"/>
      <c r="E7" s="306"/>
      <c r="F7" s="306"/>
      <c r="G7" s="306"/>
      <c r="H7" s="306"/>
      <c r="I7" s="26"/>
      <c r="J7" s="7"/>
      <c r="K7" s="7"/>
      <c r="L7" s="7"/>
      <c r="M7" s="7"/>
      <c r="N7" s="7"/>
      <c r="O7" s="23"/>
      <c r="P7" s="23"/>
      <c r="Q7" s="23"/>
      <c r="R7" s="23"/>
      <c r="S7" s="7"/>
      <c r="T7" s="7"/>
      <c r="U7" s="7"/>
      <c r="V7" s="7"/>
      <c r="W7" s="7"/>
      <c r="X7" s="7"/>
      <c r="Y7" s="7"/>
      <c r="Z7" s="7"/>
    </row>
    <row r="8" spans="1:26" ht="25.5" x14ac:dyDescent="0.2">
      <c r="A8" s="626"/>
      <c r="B8" s="305" t="s">
        <v>19</v>
      </c>
      <c r="C8" s="160" t="s">
        <v>661</v>
      </c>
      <c r="D8" s="160" t="s">
        <v>662</v>
      </c>
      <c r="E8" s="701"/>
      <c r="F8" s="701"/>
      <c r="G8" s="701"/>
      <c r="H8" s="701"/>
      <c r="I8" s="26"/>
      <c r="J8" s="7"/>
      <c r="K8" s="7"/>
      <c r="L8" s="7"/>
      <c r="M8" s="7"/>
      <c r="N8" s="7"/>
      <c r="O8" s="23"/>
      <c r="P8" s="23"/>
      <c r="Q8" s="23"/>
      <c r="R8" s="23"/>
      <c r="S8" s="23"/>
      <c r="T8" s="7"/>
      <c r="U8" s="7"/>
      <c r="V8" s="7"/>
      <c r="W8" s="7"/>
      <c r="X8" s="7"/>
      <c r="Y8" s="7"/>
      <c r="Z8" s="7"/>
    </row>
    <row r="9" spans="1:26" x14ac:dyDescent="0.2">
      <c r="A9" s="626"/>
      <c r="B9" s="212" t="s">
        <v>82</v>
      </c>
      <c r="C9" s="306"/>
      <c r="D9" s="306"/>
      <c r="E9" s="306"/>
      <c r="F9" s="306"/>
      <c r="G9" s="306"/>
      <c r="H9" s="306"/>
      <c r="I9" s="26"/>
      <c r="O9" s="23"/>
      <c r="P9" s="23"/>
      <c r="Q9" s="23"/>
      <c r="R9" s="23"/>
    </row>
    <row r="10" spans="1:26" ht="76.5" x14ac:dyDescent="0.2">
      <c r="A10" s="626"/>
      <c r="B10" s="305" t="s">
        <v>420</v>
      </c>
      <c r="C10" s="160" t="s">
        <v>663</v>
      </c>
      <c r="D10" s="160" t="s">
        <v>664</v>
      </c>
      <c r="E10" s="160" t="s">
        <v>665</v>
      </c>
      <c r="F10" s="160" t="s">
        <v>666</v>
      </c>
      <c r="G10" s="160" t="s">
        <v>667</v>
      </c>
      <c r="H10" s="160" t="s">
        <v>668</v>
      </c>
      <c r="I10" s="26"/>
      <c r="J10" s="7"/>
      <c r="K10" s="7"/>
      <c r="L10" s="7"/>
      <c r="M10" s="7"/>
      <c r="N10" s="7"/>
      <c r="O10" s="23"/>
      <c r="P10" s="23"/>
      <c r="Q10" s="23"/>
      <c r="R10" s="23"/>
      <c r="S10" s="23"/>
    </row>
    <row r="11" spans="1:26" ht="51" x14ac:dyDescent="0.2">
      <c r="A11" s="626"/>
      <c r="B11" s="305" t="s">
        <v>164</v>
      </c>
      <c r="C11" s="160" t="s">
        <v>669</v>
      </c>
      <c r="D11" s="160" t="s">
        <v>670</v>
      </c>
      <c r="E11" s="160" t="s">
        <v>671</v>
      </c>
      <c r="F11" s="160" t="s">
        <v>672</v>
      </c>
      <c r="G11" s="160" t="s">
        <v>673</v>
      </c>
      <c r="H11" s="160" t="s">
        <v>674</v>
      </c>
      <c r="I11" s="26"/>
      <c r="J11" s="7"/>
      <c r="K11" s="7"/>
      <c r="L11" s="7"/>
      <c r="M11" s="7"/>
      <c r="N11" s="7"/>
      <c r="O11" s="23"/>
      <c r="P11" s="23"/>
      <c r="Q11" s="23"/>
      <c r="R11" s="23"/>
      <c r="S11" s="23"/>
    </row>
    <row r="12" spans="1:26" ht="102" x14ac:dyDescent="0.2">
      <c r="A12" s="626"/>
      <c r="B12" s="305" t="s">
        <v>29</v>
      </c>
      <c r="C12" s="160" t="s">
        <v>675</v>
      </c>
      <c r="D12" s="476" t="s">
        <v>676</v>
      </c>
      <c r="E12" s="160" t="s">
        <v>677</v>
      </c>
      <c r="F12" s="160" t="s">
        <v>678</v>
      </c>
      <c r="G12" s="160" t="s">
        <v>679</v>
      </c>
      <c r="H12" s="160" t="s">
        <v>680</v>
      </c>
      <c r="I12" s="26"/>
      <c r="J12" s="7"/>
      <c r="K12" s="7"/>
      <c r="L12" s="7"/>
      <c r="M12" s="7"/>
      <c r="N12" s="7"/>
      <c r="O12" s="23"/>
      <c r="P12" s="23"/>
      <c r="Q12" s="23"/>
      <c r="R12" s="23"/>
      <c r="S12" s="23"/>
    </row>
    <row r="13" spans="1:26" x14ac:dyDescent="0.2">
      <c r="A13" s="626"/>
      <c r="B13" s="212" t="s">
        <v>86</v>
      </c>
      <c r="C13" s="306"/>
      <c r="D13" s="306"/>
      <c r="E13" s="306"/>
      <c r="F13" s="306"/>
      <c r="G13" s="306"/>
      <c r="H13" s="306"/>
      <c r="I13" s="26"/>
      <c r="O13" s="23"/>
      <c r="P13" s="23"/>
      <c r="Q13" s="23"/>
      <c r="R13" s="23"/>
    </row>
    <row r="14" spans="1:26" ht="89.25" x14ac:dyDescent="0.2">
      <c r="A14" s="622"/>
      <c r="B14" s="97" t="s">
        <v>25</v>
      </c>
      <c r="C14" s="160" t="s">
        <v>681</v>
      </c>
      <c r="D14" s="160" t="s">
        <v>682</v>
      </c>
      <c r="E14" s="160" t="s">
        <v>683</v>
      </c>
      <c r="F14" s="160" t="s">
        <v>684</v>
      </c>
      <c r="G14" s="160"/>
      <c r="H14" s="160"/>
      <c r="I14" s="26"/>
      <c r="J14" s="7"/>
      <c r="K14" s="7"/>
      <c r="L14" s="7"/>
      <c r="M14" s="7"/>
      <c r="N14" s="7"/>
      <c r="O14" s="23"/>
      <c r="P14" s="23"/>
      <c r="Q14" s="23"/>
      <c r="R14" s="23"/>
      <c r="S14" s="23"/>
    </row>
    <row r="15" spans="1:26" x14ac:dyDescent="0.2">
      <c r="A15" s="623" t="s">
        <v>166</v>
      </c>
      <c r="B15" s="212" t="s">
        <v>89</v>
      </c>
      <c r="C15" s="306"/>
      <c r="D15" s="306"/>
      <c r="E15" s="306"/>
      <c r="F15" s="306"/>
      <c r="G15" s="306"/>
      <c r="H15" s="306"/>
      <c r="I15" s="26"/>
      <c r="O15" s="23"/>
      <c r="P15" s="23"/>
      <c r="Q15" s="23"/>
      <c r="R15" s="23"/>
    </row>
    <row r="16" spans="1:26" ht="51" x14ac:dyDescent="0.2">
      <c r="A16" s="623"/>
      <c r="B16" s="101" t="s">
        <v>11</v>
      </c>
      <c r="C16" s="160" t="s">
        <v>685</v>
      </c>
      <c r="D16" s="160" t="s">
        <v>686</v>
      </c>
      <c r="E16" s="160" t="s">
        <v>687</v>
      </c>
      <c r="F16" s="160" t="s">
        <v>688</v>
      </c>
      <c r="G16" s="160" t="s">
        <v>689</v>
      </c>
      <c r="H16" s="160" t="s">
        <v>690</v>
      </c>
      <c r="I16" s="26"/>
      <c r="J16" s="7"/>
      <c r="K16" s="7"/>
      <c r="L16" s="7"/>
      <c r="M16" s="7"/>
      <c r="N16" s="7"/>
      <c r="O16" s="23"/>
      <c r="P16" s="23"/>
      <c r="Q16" s="23"/>
      <c r="R16" s="23"/>
    </row>
    <row r="17" spans="1:26" x14ac:dyDescent="0.2">
      <c r="A17" s="623"/>
      <c r="B17" s="212" t="s">
        <v>94</v>
      </c>
      <c r="C17" s="306"/>
      <c r="D17" s="306"/>
      <c r="E17" s="306"/>
      <c r="F17" s="306"/>
      <c r="G17" s="306"/>
      <c r="H17" s="306"/>
      <c r="I17" s="26"/>
      <c r="J17" s="7"/>
      <c r="K17" s="7"/>
      <c r="L17" s="7"/>
      <c r="M17" s="7"/>
      <c r="N17" s="7"/>
      <c r="O17" s="23"/>
      <c r="P17" s="23"/>
      <c r="Q17" s="23"/>
      <c r="R17" s="23"/>
      <c r="S17" s="7"/>
      <c r="T17" s="7"/>
      <c r="U17" s="7"/>
      <c r="V17" s="7"/>
      <c r="W17" s="7"/>
      <c r="X17" s="7"/>
      <c r="Y17" s="7"/>
      <c r="Z17" s="7"/>
    </row>
    <row r="18" spans="1:26" ht="140.25" x14ac:dyDescent="0.2">
      <c r="A18" s="623"/>
      <c r="B18" s="49" t="s">
        <v>167</v>
      </c>
      <c r="C18" s="160" t="s">
        <v>691</v>
      </c>
      <c r="D18" s="160" t="s">
        <v>692</v>
      </c>
      <c r="E18" s="160" t="s">
        <v>693</v>
      </c>
      <c r="F18" s="160" t="s">
        <v>694</v>
      </c>
      <c r="G18" s="160"/>
      <c r="H18" s="160"/>
      <c r="I18" s="26"/>
      <c r="J18" s="7"/>
      <c r="K18" s="7"/>
      <c r="L18" s="7"/>
      <c r="M18" s="7"/>
      <c r="N18" s="7"/>
      <c r="O18" s="23"/>
      <c r="P18" s="23"/>
      <c r="Q18" s="23"/>
      <c r="R18" s="23"/>
      <c r="S18" s="23"/>
      <c r="T18" s="23"/>
      <c r="U18" s="23"/>
      <c r="V18" s="23"/>
      <c r="W18" s="7"/>
      <c r="X18" s="7"/>
      <c r="Y18" s="7"/>
      <c r="Z18" s="7"/>
    </row>
    <row r="19" spans="1:26" x14ac:dyDescent="0.2">
      <c r="A19" s="623"/>
      <c r="B19" s="212" t="s">
        <v>97</v>
      </c>
      <c r="C19" s="306"/>
      <c r="D19" s="306"/>
      <c r="E19" s="306"/>
      <c r="F19" s="306"/>
      <c r="G19" s="306"/>
      <c r="H19" s="306"/>
      <c r="I19" s="26"/>
      <c r="J19" s="7"/>
      <c r="K19" s="7"/>
      <c r="L19" s="7"/>
      <c r="M19" s="7"/>
      <c r="N19" s="7"/>
      <c r="O19" s="23"/>
      <c r="P19" s="23"/>
      <c r="Q19" s="23"/>
      <c r="R19" s="23"/>
      <c r="S19" s="7"/>
      <c r="T19" s="7"/>
      <c r="U19" s="7"/>
      <c r="V19" s="7"/>
      <c r="W19" s="7"/>
      <c r="X19" s="7"/>
      <c r="Y19" s="7"/>
      <c r="Z19" s="7"/>
    </row>
    <row r="20" spans="1:26" ht="102" x14ac:dyDescent="0.2">
      <c r="A20" s="623"/>
      <c r="B20" s="49" t="s">
        <v>20</v>
      </c>
      <c r="C20" s="160" t="s">
        <v>695</v>
      </c>
      <c r="D20" s="160" t="s">
        <v>696</v>
      </c>
      <c r="E20" s="160" t="s">
        <v>697</v>
      </c>
      <c r="F20" s="160" t="s">
        <v>698</v>
      </c>
      <c r="G20" s="160" t="s">
        <v>699</v>
      </c>
      <c r="H20" s="160" t="s">
        <v>700</v>
      </c>
      <c r="I20" s="26"/>
      <c r="J20" s="7"/>
      <c r="K20" s="7"/>
      <c r="L20" s="7"/>
      <c r="M20" s="7"/>
      <c r="N20" s="7"/>
      <c r="O20" s="23"/>
      <c r="P20" s="23"/>
      <c r="Q20" s="23"/>
      <c r="R20" s="23"/>
      <c r="S20" s="23"/>
      <c r="T20" s="23"/>
      <c r="U20" s="23"/>
      <c r="V20" s="23"/>
      <c r="W20" s="23"/>
      <c r="X20" s="7"/>
      <c r="Y20" s="7"/>
      <c r="Z20" s="7"/>
    </row>
    <row r="21" spans="1:26" x14ac:dyDescent="0.2">
      <c r="A21" s="623" t="s">
        <v>168</v>
      </c>
      <c r="B21" s="212" t="s">
        <v>76</v>
      </c>
      <c r="C21" s="306"/>
      <c r="D21" s="306"/>
      <c r="E21" s="306"/>
      <c r="F21" s="306"/>
      <c r="G21" s="306"/>
      <c r="H21" s="306"/>
      <c r="I21" s="26"/>
      <c r="J21" s="7"/>
      <c r="K21" s="7"/>
      <c r="L21" s="7"/>
      <c r="M21" s="7"/>
      <c r="N21" s="7"/>
      <c r="O21" s="23"/>
      <c r="P21" s="23"/>
      <c r="Q21" s="23"/>
      <c r="R21" s="23"/>
      <c r="S21" s="7"/>
      <c r="T21" s="7"/>
      <c r="U21" s="7"/>
      <c r="V21" s="7"/>
      <c r="W21" s="7"/>
      <c r="X21" s="7"/>
      <c r="Y21" s="7"/>
      <c r="Z21" s="7"/>
    </row>
    <row r="22" spans="1:26" ht="76.5" x14ac:dyDescent="0.2">
      <c r="A22" s="623"/>
      <c r="B22" s="305" t="s">
        <v>169</v>
      </c>
      <c r="C22" s="160" t="s">
        <v>701</v>
      </c>
      <c r="D22" s="160" t="s">
        <v>702</v>
      </c>
      <c r="E22" s="160" t="s">
        <v>703</v>
      </c>
      <c r="F22" s="160" t="s">
        <v>704</v>
      </c>
      <c r="G22" s="160" t="s">
        <v>705</v>
      </c>
      <c r="H22" s="160" t="s">
        <v>706</v>
      </c>
      <c r="I22" s="26"/>
      <c r="J22" s="7"/>
      <c r="K22" s="7"/>
      <c r="L22" s="7"/>
      <c r="M22" s="7"/>
      <c r="N22" s="7"/>
      <c r="O22" s="23"/>
      <c r="P22" s="23"/>
      <c r="Q22" s="23"/>
      <c r="R22" s="23"/>
      <c r="S22" s="23"/>
      <c r="T22" s="23"/>
      <c r="U22" s="23"/>
      <c r="V22" s="23"/>
      <c r="W22" s="23"/>
      <c r="X22" s="23"/>
      <c r="Y22" s="23"/>
      <c r="Z22" s="23"/>
    </row>
    <row r="23" spans="1:26" ht="76.5" x14ac:dyDescent="0.2">
      <c r="A23" s="623"/>
      <c r="B23" s="305" t="s">
        <v>14</v>
      </c>
      <c r="C23" s="160" t="s">
        <v>707</v>
      </c>
      <c r="D23" s="160" t="s">
        <v>708</v>
      </c>
      <c r="E23" s="160" t="s">
        <v>709</v>
      </c>
      <c r="F23" s="160" t="s">
        <v>710</v>
      </c>
      <c r="G23" s="701"/>
      <c r="H23" s="701"/>
      <c r="I23" s="26"/>
      <c r="J23" s="7"/>
      <c r="K23" s="7"/>
      <c r="L23" s="7"/>
      <c r="M23" s="7"/>
      <c r="N23" s="7"/>
      <c r="O23" s="23"/>
      <c r="P23" s="23"/>
      <c r="Q23" s="23"/>
      <c r="R23" s="23"/>
      <c r="S23" s="23"/>
      <c r="T23" s="23"/>
      <c r="U23" s="23"/>
      <c r="V23" s="23"/>
      <c r="W23" s="7"/>
      <c r="X23" s="7"/>
      <c r="Y23" s="7"/>
      <c r="Z23" s="7"/>
    </row>
    <row r="24" spans="1:26" s="485" customFormat="1" x14ac:dyDescent="0.2">
      <c r="A24" s="705" t="s">
        <v>711</v>
      </c>
      <c r="B24" s="706"/>
      <c r="C24" s="706"/>
      <c r="D24" s="707"/>
      <c r="E24" s="707"/>
      <c r="F24" s="707"/>
      <c r="G24" s="707"/>
      <c r="H24" s="707"/>
      <c r="I24" s="483"/>
      <c r="J24" s="483"/>
      <c r="K24" s="483"/>
      <c r="L24" s="483"/>
      <c r="M24" s="483"/>
      <c r="N24" s="483"/>
      <c r="O24" s="483"/>
      <c r="P24" s="483"/>
      <c r="Q24" s="483"/>
      <c r="R24" s="483"/>
      <c r="S24" s="484"/>
      <c r="T24" s="484"/>
      <c r="U24" s="484"/>
      <c r="V24" s="484"/>
      <c r="W24" s="484"/>
      <c r="X24" s="484"/>
      <c r="Y24" s="484"/>
      <c r="Z24" s="484"/>
    </row>
    <row r="25" spans="1:26" s="482" customFormat="1" x14ac:dyDescent="0.2">
      <c r="A25" s="477"/>
      <c r="B25" s="478"/>
      <c r="C25" s="479"/>
      <c r="D25" s="480"/>
      <c r="E25" s="480"/>
      <c r="F25" s="480"/>
      <c r="G25" s="480"/>
      <c r="H25" s="480"/>
      <c r="I25" s="478"/>
      <c r="J25" s="478"/>
      <c r="K25" s="478"/>
      <c r="L25" s="478"/>
      <c r="M25" s="478"/>
      <c r="N25" s="478"/>
      <c r="O25" s="478"/>
      <c r="P25" s="478"/>
      <c r="Q25" s="478"/>
      <c r="R25" s="478"/>
      <c r="S25" s="481"/>
      <c r="T25" s="481"/>
      <c r="U25" s="481"/>
      <c r="V25" s="481"/>
      <c r="W25" s="481"/>
      <c r="X25" s="481"/>
      <c r="Y25" s="481"/>
      <c r="Z25" s="481"/>
    </row>
    <row r="26" spans="1:26" ht="20.25" x14ac:dyDescent="0.3">
      <c r="A26" s="24"/>
      <c r="B26" s="304"/>
      <c r="C26" s="702" t="s">
        <v>712</v>
      </c>
      <c r="D26" s="702"/>
      <c r="E26" s="702"/>
      <c r="F26" s="702"/>
      <c r="G26" s="702"/>
      <c r="H26" s="702"/>
      <c r="I26" s="57"/>
      <c r="J26" s="23"/>
      <c r="K26" s="23"/>
      <c r="L26" s="23"/>
      <c r="M26" s="23"/>
      <c r="N26" s="23"/>
      <c r="O26" s="23"/>
      <c r="P26" s="23"/>
      <c r="Q26" s="23"/>
      <c r="R26" s="23"/>
      <c r="S26" s="7"/>
      <c r="T26" s="7"/>
      <c r="U26" s="7"/>
      <c r="V26" s="7"/>
      <c r="W26" s="7"/>
      <c r="X26" s="7"/>
      <c r="Y26" s="7"/>
      <c r="Z26" s="7"/>
    </row>
    <row r="27" spans="1:26" ht="52.5" x14ac:dyDescent="0.2">
      <c r="A27" s="39" t="s">
        <v>713</v>
      </c>
      <c r="B27" s="4" t="s">
        <v>188</v>
      </c>
      <c r="C27" s="4" t="s">
        <v>650</v>
      </c>
      <c r="D27" s="4" t="s">
        <v>714</v>
      </c>
      <c r="E27" s="4" t="s">
        <v>715</v>
      </c>
      <c r="F27" s="4" t="s">
        <v>716</v>
      </c>
      <c r="G27" s="4" t="s">
        <v>654</v>
      </c>
      <c r="H27" s="4" t="s">
        <v>717</v>
      </c>
      <c r="I27" s="57"/>
      <c r="J27" s="23"/>
      <c r="K27" s="23"/>
      <c r="L27" s="23"/>
      <c r="M27" s="23"/>
      <c r="N27" s="23"/>
      <c r="O27" s="23"/>
      <c r="P27" s="23"/>
      <c r="Q27" s="23"/>
      <c r="R27" s="23"/>
      <c r="S27" s="7"/>
      <c r="T27" s="7"/>
      <c r="U27" s="7"/>
      <c r="V27" s="7"/>
      <c r="W27" s="7"/>
      <c r="X27" s="7"/>
      <c r="Y27" s="7"/>
      <c r="Z27" s="7"/>
    </row>
    <row r="28" spans="1:26" x14ac:dyDescent="0.2">
      <c r="A28" s="623" t="s">
        <v>154</v>
      </c>
      <c r="B28" s="212" t="s">
        <v>72</v>
      </c>
      <c r="C28" s="301"/>
      <c r="D28" s="301"/>
      <c r="E28" s="301"/>
      <c r="F28" s="301"/>
      <c r="G28" s="301"/>
      <c r="H28" s="301"/>
      <c r="I28" s="57"/>
      <c r="J28" s="23"/>
      <c r="K28" s="23"/>
      <c r="L28" s="23"/>
      <c r="M28" s="23"/>
      <c r="N28" s="23"/>
      <c r="O28" s="23"/>
      <c r="P28" s="23"/>
      <c r="Q28" s="23"/>
      <c r="R28" s="23"/>
      <c r="S28" s="7"/>
      <c r="T28" s="7"/>
      <c r="U28" s="7"/>
      <c r="V28" s="7"/>
      <c r="W28" s="7"/>
      <c r="X28" s="7"/>
      <c r="Y28" s="7"/>
      <c r="Z28" s="7"/>
    </row>
    <row r="29" spans="1:26" ht="63.75" x14ac:dyDescent="0.2">
      <c r="A29" s="623"/>
      <c r="B29" s="305" t="s">
        <v>41</v>
      </c>
      <c r="C29" s="160" t="s">
        <v>718</v>
      </c>
      <c r="D29" s="160" t="s">
        <v>719</v>
      </c>
      <c r="E29" s="160" t="s">
        <v>720</v>
      </c>
      <c r="F29" s="160" t="s">
        <v>721</v>
      </c>
      <c r="G29" s="160" t="s">
        <v>722</v>
      </c>
      <c r="H29" s="160" t="s">
        <v>723</v>
      </c>
      <c r="I29" s="57"/>
      <c r="J29" s="23"/>
      <c r="K29" s="23"/>
      <c r="L29" s="23"/>
      <c r="M29" s="23"/>
      <c r="N29" s="23"/>
      <c r="O29" s="23"/>
      <c r="P29" s="23"/>
      <c r="Q29" s="23"/>
      <c r="R29" s="23"/>
      <c r="S29" s="7"/>
      <c r="T29" s="7"/>
      <c r="U29" s="7"/>
      <c r="V29" s="7"/>
      <c r="W29" s="7"/>
      <c r="X29" s="7"/>
      <c r="Y29" s="7"/>
      <c r="Z29" s="7"/>
    </row>
    <row r="30" spans="1:26" ht="38.25" x14ac:dyDescent="0.2">
      <c r="A30" s="623"/>
      <c r="B30" s="305" t="s">
        <v>158</v>
      </c>
      <c r="C30" s="160" t="s">
        <v>724</v>
      </c>
      <c r="D30" s="160" t="s">
        <v>725</v>
      </c>
      <c r="E30" s="160" t="s">
        <v>726</v>
      </c>
      <c r="F30" s="160" t="s">
        <v>727</v>
      </c>
      <c r="G30" s="160" t="s">
        <v>728</v>
      </c>
      <c r="H30" s="160" t="s">
        <v>729</v>
      </c>
      <c r="I30" s="57"/>
      <c r="J30" s="23"/>
      <c r="K30" s="23"/>
      <c r="L30" s="23"/>
      <c r="M30" s="23"/>
      <c r="N30" s="23"/>
      <c r="O30" s="23"/>
      <c r="P30" s="23"/>
      <c r="Q30" s="23"/>
      <c r="R30" s="23"/>
      <c r="S30" s="7"/>
      <c r="T30" s="7"/>
      <c r="U30" s="7"/>
      <c r="V30" s="7"/>
      <c r="W30" s="7"/>
      <c r="X30" s="7"/>
      <c r="Y30" s="7"/>
      <c r="Z30" s="7"/>
    </row>
    <row r="31" spans="1:26" x14ac:dyDescent="0.2">
      <c r="A31" s="623" t="s">
        <v>730</v>
      </c>
      <c r="B31" s="212" t="s">
        <v>79</v>
      </c>
      <c r="C31" s="306"/>
      <c r="D31" s="306"/>
      <c r="E31" s="306"/>
      <c r="F31" s="306"/>
      <c r="G31" s="306"/>
      <c r="H31" s="306"/>
      <c r="I31" s="57"/>
      <c r="J31" s="23"/>
      <c r="K31" s="23"/>
      <c r="L31" s="23"/>
      <c r="M31" s="23"/>
      <c r="N31" s="23"/>
      <c r="O31" s="23"/>
      <c r="P31" s="23"/>
      <c r="Q31" s="23"/>
      <c r="R31" s="23"/>
      <c r="S31" s="7"/>
      <c r="T31" s="7"/>
      <c r="U31" s="7"/>
      <c r="V31" s="7"/>
      <c r="W31" s="7"/>
      <c r="X31" s="7"/>
      <c r="Y31" s="7"/>
      <c r="Z31" s="7"/>
    </row>
    <row r="32" spans="1:26" ht="25.5" x14ac:dyDescent="0.2">
      <c r="A32" s="623"/>
      <c r="B32" s="305" t="s">
        <v>19</v>
      </c>
      <c r="C32" s="160" t="s">
        <v>731</v>
      </c>
      <c r="D32" s="160" t="s">
        <v>732</v>
      </c>
      <c r="E32" s="160" t="s">
        <v>733</v>
      </c>
      <c r="F32" s="160" t="s">
        <v>734</v>
      </c>
      <c r="G32" s="160" t="s">
        <v>735</v>
      </c>
      <c r="H32" s="160" t="s">
        <v>736</v>
      </c>
      <c r="I32" s="57"/>
      <c r="J32" s="23"/>
      <c r="K32" s="23"/>
      <c r="L32" s="23"/>
      <c r="M32" s="23"/>
      <c r="N32" s="23"/>
      <c r="O32" s="23"/>
      <c r="P32" s="23"/>
      <c r="Q32" s="23"/>
      <c r="R32" s="23"/>
      <c r="S32" s="7"/>
      <c r="T32" s="7"/>
      <c r="U32" s="7"/>
      <c r="V32" s="7"/>
      <c r="W32" s="7"/>
      <c r="X32" s="7"/>
      <c r="Y32" s="7"/>
      <c r="Z32" s="7"/>
    </row>
    <row r="33" spans="1:26" x14ac:dyDescent="0.2">
      <c r="A33" s="623" t="s">
        <v>737</v>
      </c>
      <c r="B33" s="212" t="s">
        <v>94</v>
      </c>
      <c r="C33" s="306"/>
      <c r="D33" s="306"/>
      <c r="E33" s="306"/>
      <c r="F33" s="306"/>
      <c r="G33" s="306"/>
      <c r="H33" s="306"/>
      <c r="I33" s="26"/>
      <c r="J33" s="7"/>
      <c r="K33" s="7"/>
      <c r="L33" s="7"/>
      <c r="M33" s="7"/>
      <c r="N33" s="7"/>
      <c r="O33" s="7"/>
      <c r="P33" s="7"/>
      <c r="Q33" s="7"/>
      <c r="R33" s="7"/>
      <c r="S33" s="7"/>
      <c r="T33" s="7"/>
      <c r="U33" s="7"/>
      <c r="V33" s="7"/>
      <c r="W33" s="7"/>
      <c r="X33" s="7"/>
      <c r="Y33" s="7"/>
      <c r="Z33" s="7"/>
    </row>
    <row r="34" spans="1:26" ht="38.25" x14ac:dyDescent="0.2">
      <c r="A34" s="623"/>
      <c r="B34" s="49" t="s">
        <v>167</v>
      </c>
      <c r="C34" s="160" t="s">
        <v>738</v>
      </c>
      <c r="D34" s="160" t="s">
        <v>739</v>
      </c>
      <c r="E34" s="160" t="s">
        <v>740</v>
      </c>
      <c r="F34" s="160" t="s">
        <v>741</v>
      </c>
      <c r="G34" s="160" t="s">
        <v>742</v>
      </c>
      <c r="H34" s="160" t="s">
        <v>743</v>
      </c>
      <c r="I34" s="26"/>
      <c r="J34" s="7"/>
      <c r="K34" s="7"/>
      <c r="L34" s="7"/>
      <c r="M34" s="7"/>
      <c r="N34" s="7"/>
      <c r="O34" s="7"/>
      <c r="P34" s="7"/>
      <c r="Q34" s="7"/>
      <c r="R34" s="7"/>
      <c r="S34" s="7"/>
      <c r="T34" s="7"/>
      <c r="U34" s="7"/>
      <c r="V34" s="7"/>
      <c r="W34" s="7"/>
      <c r="X34" s="7"/>
      <c r="Y34" s="7"/>
      <c r="Z34" s="7"/>
    </row>
    <row r="35" spans="1:26" x14ac:dyDescent="0.2">
      <c r="A35" s="623"/>
      <c r="B35" s="212" t="s">
        <v>97</v>
      </c>
      <c r="C35" s="306"/>
      <c r="D35" s="306"/>
      <c r="E35" s="306"/>
      <c r="F35" s="306"/>
      <c r="G35" s="306"/>
      <c r="H35" s="306"/>
      <c r="I35" s="26"/>
      <c r="J35" s="7"/>
      <c r="K35" s="7"/>
      <c r="L35" s="7"/>
      <c r="M35" s="7"/>
      <c r="N35" s="7"/>
      <c r="O35" s="7"/>
      <c r="P35" s="7"/>
      <c r="Q35" s="7"/>
      <c r="R35" s="7"/>
      <c r="S35" s="7"/>
      <c r="T35" s="7"/>
      <c r="U35" s="7"/>
      <c r="V35" s="7"/>
      <c r="W35" s="7"/>
      <c r="X35" s="7"/>
      <c r="Y35" s="7"/>
      <c r="Z35" s="7"/>
    </row>
    <row r="36" spans="1:26" ht="76.5" x14ac:dyDescent="0.2">
      <c r="A36" s="623"/>
      <c r="B36" s="49" t="s">
        <v>20</v>
      </c>
      <c r="C36" s="160" t="s">
        <v>744</v>
      </c>
      <c r="D36" s="160" t="s">
        <v>745</v>
      </c>
      <c r="E36" s="160" t="s">
        <v>746</v>
      </c>
      <c r="F36" s="160" t="s">
        <v>747</v>
      </c>
      <c r="G36" s="160" t="s">
        <v>748</v>
      </c>
      <c r="H36" s="160" t="s">
        <v>749</v>
      </c>
      <c r="I36" s="26"/>
      <c r="J36" s="7"/>
      <c r="K36" s="7"/>
      <c r="L36" s="7"/>
      <c r="M36" s="7"/>
      <c r="N36" s="7"/>
      <c r="O36" s="7"/>
      <c r="P36" s="7"/>
      <c r="Q36" s="7"/>
      <c r="R36" s="7"/>
      <c r="S36" s="7"/>
      <c r="T36" s="7"/>
      <c r="U36" s="7"/>
      <c r="V36" s="7"/>
      <c r="W36" s="7"/>
      <c r="X36" s="7"/>
      <c r="Y36" s="7"/>
      <c r="Z36" s="7"/>
    </row>
    <row r="37" spans="1:26" x14ac:dyDescent="0.2">
      <c r="A37" s="623" t="s">
        <v>168</v>
      </c>
      <c r="B37" s="212" t="s">
        <v>76</v>
      </c>
      <c r="C37" s="306"/>
      <c r="D37" s="306"/>
      <c r="E37" s="306"/>
      <c r="F37" s="306"/>
      <c r="G37" s="306"/>
      <c r="H37" s="306"/>
      <c r="I37" s="26"/>
      <c r="J37" s="7"/>
      <c r="K37" s="7"/>
      <c r="L37" s="7"/>
      <c r="M37" s="7"/>
      <c r="N37" s="7"/>
      <c r="O37" s="7"/>
      <c r="P37" s="7"/>
      <c r="Q37" s="7"/>
      <c r="R37" s="7"/>
      <c r="S37" s="7"/>
      <c r="T37" s="7"/>
      <c r="U37" s="7"/>
      <c r="V37" s="7"/>
      <c r="W37" s="7"/>
      <c r="X37" s="7"/>
      <c r="Y37" s="7"/>
      <c r="Z37" s="7"/>
    </row>
    <row r="38" spans="1:26" ht="76.5" x14ac:dyDescent="0.2">
      <c r="A38" s="623"/>
      <c r="B38" s="305" t="s">
        <v>169</v>
      </c>
      <c r="C38" s="160" t="s">
        <v>750</v>
      </c>
      <c r="D38" s="160" t="s">
        <v>751</v>
      </c>
      <c r="E38" s="160" t="s">
        <v>752</v>
      </c>
      <c r="F38" s="160" t="s">
        <v>753</v>
      </c>
      <c r="G38" s="160" t="s">
        <v>754</v>
      </c>
      <c r="H38" s="160" t="s">
        <v>755</v>
      </c>
      <c r="I38" s="26"/>
      <c r="J38" s="7"/>
      <c r="K38" s="7"/>
      <c r="L38" s="7"/>
      <c r="M38" s="7"/>
      <c r="N38" s="7"/>
      <c r="O38" s="7"/>
      <c r="P38" s="7"/>
      <c r="Q38" s="7"/>
      <c r="R38" s="7"/>
      <c r="S38" s="7"/>
      <c r="T38" s="7"/>
      <c r="U38" s="7"/>
      <c r="V38" s="7"/>
      <c r="W38" s="7"/>
      <c r="X38" s="7"/>
      <c r="Y38" s="7"/>
      <c r="Z38" s="7"/>
    </row>
    <row r="39" spans="1:26" ht="102" x14ac:dyDescent="0.2">
      <c r="A39" s="623"/>
      <c r="B39" s="305" t="s">
        <v>14</v>
      </c>
      <c r="C39" s="476" t="s">
        <v>1193</v>
      </c>
      <c r="D39" s="476" t="s">
        <v>1192</v>
      </c>
      <c r="E39" s="476" t="s">
        <v>1194</v>
      </c>
      <c r="F39" s="476" t="s">
        <v>1195</v>
      </c>
      <c r="G39" s="476" t="s">
        <v>1196</v>
      </c>
      <c r="H39" s="160" t="s">
        <v>756</v>
      </c>
      <c r="I39" s="26"/>
      <c r="J39" s="7"/>
      <c r="K39" s="7"/>
      <c r="L39" s="7"/>
      <c r="M39" s="7"/>
      <c r="N39" s="7"/>
      <c r="O39" s="7"/>
      <c r="P39" s="7"/>
      <c r="Q39" s="7"/>
      <c r="R39" s="7"/>
      <c r="S39" s="7"/>
      <c r="T39" s="7"/>
      <c r="U39" s="7"/>
      <c r="V39" s="7"/>
      <c r="W39" s="7"/>
      <c r="X39" s="7"/>
      <c r="Y39" s="7"/>
      <c r="Z39" s="7"/>
    </row>
    <row r="40" spans="1:26" x14ac:dyDescent="0.2">
      <c r="A40" s="612" t="s">
        <v>757</v>
      </c>
      <c r="B40" s="612"/>
      <c r="C40" s="612"/>
      <c r="D40" s="612"/>
      <c r="E40" s="612"/>
      <c r="F40" s="612"/>
      <c r="G40" s="612"/>
      <c r="H40" s="612"/>
      <c r="I40" s="7"/>
      <c r="J40" s="7"/>
      <c r="K40" s="7"/>
      <c r="L40" s="7"/>
      <c r="M40" s="7"/>
      <c r="N40" s="7"/>
      <c r="O40" s="7"/>
      <c r="P40" s="7"/>
      <c r="Q40" s="7"/>
      <c r="R40" s="7"/>
      <c r="S40" s="7"/>
      <c r="T40" s="7"/>
      <c r="U40" s="7"/>
      <c r="V40" s="7"/>
      <c r="W40" s="7"/>
      <c r="X40" s="7"/>
      <c r="Y40" s="7"/>
      <c r="Z40" s="7"/>
    </row>
    <row r="41" spans="1:26" x14ac:dyDescent="0.2">
      <c r="A41" s="704"/>
      <c r="B41" s="704"/>
      <c r="C41" s="704"/>
      <c r="D41" s="704"/>
      <c r="E41" s="704"/>
      <c r="F41" s="704"/>
      <c r="G41" s="704"/>
      <c r="H41" s="704"/>
      <c r="I41" s="7"/>
      <c r="J41" s="7"/>
      <c r="K41" s="7"/>
      <c r="L41" s="7"/>
      <c r="M41" s="7"/>
      <c r="N41" s="7"/>
      <c r="O41" s="7"/>
      <c r="P41" s="7"/>
      <c r="Q41" s="7"/>
      <c r="R41" s="7"/>
      <c r="S41" s="7"/>
      <c r="T41" s="7"/>
      <c r="U41" s="7"/>
      <c r="V41" s="7"/>
      <c r="W41" s="7"/>
      <c r="X41" s="7"/>
      <c r="Y41" s="7"/>
      <c r="Z41" s="7"/>
    </row>
    <row r="42" spans="1:26" x14ac:dyDescent="0.2">
      <c r="A42" s="704"/>
      <c r="B42" s="704"/>
      <c r="C42" s="704"/>
      <c r="D42" s="704"/>
      <c r="E42" s="704"/>
      <c r="F42" s="704"/>
      <c r="G42" s="704"/>
      <c r="H42" s="704"/>
      <c r="I42" s="7"/>
      <c r="J42" s="7"/>
      <c r="K42" s="7"/>
      <c r="L42" s="7"/>
      <c r="M42" s="7"/>
      <c r="N42" s="7"/>
      <c r="O42" s="7"/>
      <c r="P42" s="7"/>
      <c r="Q42" s="7"/>
      <c r="R42" s="7"/>
      <c r="S42" s="7"/>
      <c r="T42" s="7"/>
      <c r="U42" s="7"/>
      <c r="V42" s="7"/>
      <c r="W42" s="7"/>
      <c r="X42" s="7"/>
      <c r="Y42" s="7"/>
      <c r="Z42" s="7"/>
    </row>
    <row r="43" spans="1:26" x14ac:dyDescent="0.2">
      <c r="A43" s="704"/>
      <c r="B43" s="704"/>
      <c r="C43" s="704"/>
      <c r="D43" s="704"/>
      <c r="E43" s="704"/>
      <c r="F43" s="704"/>
      <c r="G43" s="704"/>
      <c r="H43" s="704"/>
      <c r="I43" s="7"/>
      <c r="J43" s="7"/>
      <c r="K43" s="7"/>
      <c r="L43" s="7"/>
      <c r="M43" s="7"/>
      <c r="N43" s="7"/>
      <c r="O43" s="7"/>
      <c r="P43" s="7"/>
      <c r="Q43" s="7"/>
      <c r="R43" s="7"/>
      <c r="S43" s="7"/>
      <c r="T43" s="7"/>
      <c r="U43" s="7"/>
      <c r="V43" s="7"/>
      <c r="W43" s="7"/>
      <c r="X43" s="7"/>
      <c r="Y43" s="7"/>
      <c r="Z43" s="7"/>
    </row>
    <row r="44" spans="1:26"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sheetData>
  <sheetProtection algorithmName="SHA-512" hashValue="TKmQseAvvMpjPwIh0lgcatZeHDiWk1T79AJVJCZ5w6MZFL7H25W6mEnUxXMtE/n4jXnxjxFsszadJA8bc2SUrg==" saltValue="ft/+kPeoaRov9QORmfiQug==" spinCount="100000" sheet="1" objects="1" scenarios="1"/>
  <mergeCells count="15">
    <mergeCell ref="A40:H43"/>
    <mergeCell ref="A37:A39"/>
    <mergeCell ref="A24:H24"/>
    <mergeCell ref="A15:A20"/>
    <mergeCell ref="A28:A30"/>
    <mergeCell ref="A31:A32"/>
    <mergeCell ref="A33:A36"/>
    <mergeCell ref="C26:H26"/>
    <mergeCell ref="A1:D1"/>
    <mergeCell ref="A5:A6"/>
    <mergeCell ref="E8:H8"/>
    <mergeCell ref="C3:H3"/>
    <mergeCell ref="G23:H23"/>
    <mergeCell ref="A7:A14"/>
    <mergeCell ref="A21: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64"/>
  <sheetViews>
    <sheetView showGridLines="0" showRuler="0" workbookViewId="0">
      <selection activeCell="D12" sqref="D12"/>
    </sheetView>
  </sheetViews>
  <sheetFormatPr defaultColWidth="13.140625" defaultRowHeight="12.75" x14ac:dyDescent="0.2"/>
  <cols>
    <col min="1" max="1" width="23.140625" customWidth="1"/>
    <col min="2" max="2" width="21.42578125" customWidth="1"/>
    <col min="3" max="3" width="24.42578125" customWidth="1"/>
    <col min="4" max="4" width="26.7109375" customWidth="1"/>
    <col min="5" max="5" width="8.5703125" customWidth="1"/>
    <col min="6" max="6" width="57.140625" customWidth="1"/>
    <col min="7" max="8" width="37.85546875" hidden="1" customWidth="1"/>
    <col min="9" max="9" width="19.7109375" customWidth="1"/>
    <col min="10" max="10" width="20.85546875" customWidth="1"/>
    <col min="11" max="11" width="14.42578125" customWidth="1"/>
  </cols>
  <sheetData>
    <row r="1" spans="1:11" ht="15.75" x14ac:dyDescent="0.25">
      <c r="A1" s="560" t="s">
        <v>758</v>
      </c>
      <c r="B1" s="560"/>
      <c r="C1" s="560"/>
      <c r="D1" s="560"/>
      <c r="E1" s="560"/>
      <c r="F1" s="23"/>
      <c r="G1" s="23"/>
      <c r="H1" s="23"/>
      <c r="I1" s="23"/>
      <c r="J1" s="23"/>
      <c r="K1" s="23"/>
    </row>
    <row r="2" spans="1:11" x14ac:dyDescent="0.2">
      <c r="A2" s="7"/>
      <c r="B2" s="23"/>
      <c r="C2" s="23"/>
      <c r="D2" s="23"/>
      <c r="E2" s="23"/>
      <c r="F2" s="24"/>
      <c r="G2" s="24"/>
      <c r="H2" s="24"/>
      <c r="I2" s="24"/>
      <c r="J2" s="24"/>
      <c r="K2" s="23"/>
    </row>
    <row r="3" spans="1:11" ht="41.25" x14ac:dyDescent="0.2">
      <c r="A3" s="449" t="s">
        <v>1197</v>
      </c>
      <c r="B3" s="486" t="s">
        <v>142</v>
      </c>
      <c r="C3" s="486" t="s">
        <v>765</v>
      </c>
      <c r="D3" s="486" t="s">
        <v>766</v>
      </c>
      <c r="E3" s="16"/>
      <c r="F3" s="458" t="s">
        <v>1198</v>
      </c>
      <c r="G3" s="4" t="s">
        <v>759</v>
      </c>
      <c r="H3" s="4" t="s">
        <v>760</v>
      </c>
      <c r="I3" s="4" t="s">
        <v>761</v>
      </c>
      <c r="J3" s="4" t="s">
        <v>762</v>
      </c>
      <c r="K3" s="57"/>
    </row>
    <row r="4" spans="1:11" ht="21.6" customHeight="1" x14ac:dyDescent="0.2">
      <c r="A4" s="625" t="s">
        <v>154</v>
      </c>
      <c r="B4" s="446" t="s">
        <v>72</v>
      </c>
      <c r="C4" s="113">
        <f>SUM(C5:C6)</f>
        <v>190</v>
      </c>
      <c r="D4" s="94"/>
      <c r="E4" s="16"/>
      <c r="F4" s="8" t="s">
        <v>763</v>
      </c>
      <c r="G4" s="240">
        <v>0</v>
      </c>
      <c r="H4" s="225">
        <v>3</v>
      </c>
      <c r="I4" s="225">
        <f t="shared" ref="I4:I38" si="0">SUM(G4:H4)</f>
        <v>3</v>
      </c>
      <c r="J4" s="307">
        <f t="shared" ref="J4:J38" si="1">I4/$I$38</f>
        <v>5.454545454545455E-3</v>
      </c>
      <c r="K4" s="57"/>
    </row>
    <row r="5" spans="1:11" ht="21.6" customHeight="1" x14ac:dyDescent="0.2">
      <c r="A5" s="626"/>
      <c r="B5" s="97" t="s">
        <v>41</v>
      </c>
      <c r="C5" s="240">
        <v>115</v>
      </c>
      <c r="D5" s="308">
        <v>0.94</v>
      </c>
      <c r="E5" s="16"/>
      <c r="F5" s="8" t="s">
        <v>764</v>
      </c>
      <c r="G5" s="240">
        <v>0</v>
      </c>
      <c r="H5" s="225">
        <v>2</v>
      </c>
      <c r="I5" s="225">
        <f t="shared" si="0"/>
        <v>2</v>
      </c>
      <c r="J5" s="307">
        <f t="shared" si="1"/>
        <v>3.6363636363636364E-3</v>
      </c>
      <c r="K5" s="57"/>
    </row>
    <row r="6" spans="1:11" ht="27" customHeight="1" x14ac:dyDescent="0.2">
      <c r="A6" s="622"/>
      <c r="B6" s="97" t="s">
        <v>158</v>
      </c>
      <c r="C6" s="240">
        <v>75</v>
      </c>
      <c r="D6" s="308">
        <v>1</v>
      </c>
      <c r="E6" s="11"/>
      <c r="F6" s="8" t="s">
        <v>767</v>
      </c>
      <c r="G6" s="240">
        <v>0</v>
      </c>
      <c r="H6" s="225">
        <v>4</v>
      </c>
      <c r="I6" s="225">
        <f t="shared" si="0"/>
        <v>4</v>
      </c>
      <c r="J6" s="307">
        <f t="shared" si="1"/>
        <v>7.2727272727272727E-3</v>
      </c>
      <c r="K6" s="57"/>
    </row>
    <row r="7" spans="1:11" ht="21.6" customHeight="1" x14ac:dyDescent="0.2">
      <c r="A7" s="625" t="s">
        <v>160</v>
      </c>
      <c r="B7" s="446" t="s">
        <v>79</v>
      </c>
      <c r="C7" s="113">
        <f>C8</f>
        <v>14</v>
      </c>
      <c r="D7" s="94"/>
      <c r="E7" s="11"/>
      <c r="F7" s="8" t="s">
        <v>768</v>
      </c>
      <c r="G7" s="240">
        <v>0</v>
      </c>
      <c r="H7" s="225">
        <v>2</v>
      </c>
      <c r="I7" s="225">
        <f t="shared" si="0"/>
        <v>2</v>
      </c>
      <c r="J7" s="307">
        <f t="shared" si="1"/>
        <v>3.6363636363636364E-3</v>
      </c>
      <c r="K7" s="57"/>
    </row>
    <row r="8" spans="1:11" ht="21.6" customHeight="1" x14ac:dyDescent="0.2">
      <c r="A8" s="626"/>
      <c r="B8" s="97" t="s">
        <v>19</v>
      </c>
      <c r="C8" s="240">
        <v>14</v>
      </c>
      <c r="D8" s="308">
        <v>1</v>
      </c>
      <c r="E8" s="11"/>
      <c r="F8" s="8" t="s">
        <v>769</v>
      </c>
      <c r="G8" s="240">
        <v>0</v>
      </c>
      <c r="H8" s="225">
        <v>4</v>
      </c>
      <c r="I8" s="225">
        <f t="shared" si="0"/>
        <v>4</v>
      </c>
      <c r="J8" s="307">
        <f t="shared" si="1"/>
        <v>7.2727272727272727E-3</v>
      </c>
      <c r="K8" s="57"/>
    </row>
    <row r="9" spans="1:11" ht="21.6" customHeight="1" x14ac:dyDescent="0.2">
      <c r="A9" s="626"/>
      <c r="B9" s="446" t="s">
        <v>82</v>
      </c>
      <c r="C9" s="113">
        <f>SUM(C10:C12)</f>
        <v>196</v>
      </c>
      <c r="D9" s="94"/>
      <c r="E9" s="11"/>
      <c r="F9" s="8" t="s">
        <v>770</v>
      </c>
      <c r="G9" s="240">
        <v>0</v>
      </c>
      <c r="H9" s="225">
        <v>10</v>
      </c>
      <c r="I9" s="225">
        <f t="shared" si="0"/>
        <v>10</v>
      </c>
      <c r="J9" s="307">
        <f t="shared" si="1"/>
        <v>1.8181818181818181E-2</v>
      </c>
      <c r="K9" s="57"/>
    </row>
    <row r="10" spans="1:11" ht="21.6" customHeight="1" x14ac:dyDescent="0.2">
      <c r="A10" s="626"/>
      <c r="B10" s="97" t="s">
        <v>163</v>
      </c>
      <c r="C10" s="53">
        <v>24</v>
      </c>
      <c r="D10" s="48" t="s">
        <v>16</v>
      </c>
      <c r="E10" s="11"/>
      <c r="F10" s="8" t="s">
        <v>771</v>
      </c>
      <c r="G10" s="240">
        <v>0</v>
      </c>
      <c r="H10" s="225">
        <v>2</v>
      </c>
      <c r="I10" s="225">
        <f t="shared" si="0"/>
        <v>2</v>
      </c>
      <c r="J10" s="307">
        <f t="shared" si="1"/>
        <v>3.6363636363636364E-3</v>
      </c>
      <c r="K10" s="57"/>
    </row>
    <row r="11" spans="1:11" ht="21.6" customHeight="1" x14ac:dyDescent="0.2">
      <c r="A11" s="626"/>
      <c r="B11" s="97" t="s">
        <v>164</v>
      </c>
      <c r="C11" s="267">
        <v>0</v>
      </c>
      <c r="D11" s="48" t="s">
        <v>16</v>
      </c>
      <c r="E11" s="11"/>
      <c r="F11" s="8" t="s">
        <v>772</v>
      </c>
      <c r="G11" s="240">
        <v>0</v>
      </c>
      <c r="H11" s="225">
        <v>1</v>
      </c>
      <c r="I11" s="225">
        <f t="shared" si="0"/>
        <v>1</v>
      </c>
      <c r="J11" s="307">
        <f t="shared" si="1"/>
        <v>1.8181818181818182E-3</v>
      </c>
      <c r="K11" s="57"/>
    </row>
    <row r="12" spans="1:11" ht="21.6" customHeight="1" x14ac:dyDescent="0.2">
      <c r="A12" s="626"/>
      <c r="B12" s="97" t="s">
        <v>29</v>
      </c>
      <c r="C12" s="53">
        <v>172</v>
      </c>
      <c r="D12" s="48" t="s">
        <v>16</v>
      </c>
      <c r="E12" s="11"/>
      <c r="F12" s="8" t="s">
        <v>773</v>
      </c>
      <c r="G12" s="240">
        <v>16</v>
      </c>
      <c r="H12" s="225">
        <v>158</v>
      </c>
      <c r="I12" s="225">
        <f t="shared" si="0"/>
        <v>174</v>
      </c>
      <c r="J12" s="307">
        <f t="shared" si="1"/>
        <v>0.31636363636363635</v>
      </c>
      <c r="K12" s="57"/>
    </row>
    <row r="13" spans="1:11" ht="18.75" customHeight="1" x14ac:dyDescent="0.2">
      <c r="A13" s="626"/>
      <c r="B13" s="446" t="s">
        <v>86</v>
      </c>
      <c r="C13" s="113">
        <f>C14</f>
        <v>82</v>
      </c>
      <c r="D13" s="94"/>
      <c r="E13" s="11"/>
      <c r="F13" s="8" t="s">
        <v>774</v>
      </c>
      <c r="G13" s="240">
        <v>10</v>
      </c>
      <c r="H13" s="225">
        <v>4</v>
      </c>
      <c r="I13" s="225">
        <f t="shared" si="0"/>
        <v>14</v>
      </c>
      <c r="J13" s="307">
        <f t="shared" si="1"/>
        <v>2.5454545454545455E-2</v>
      </c>
      <c r="K13" s="57"/>
    </row>
    <row r="14" spans="1:11" ht="19.149999999999999" customHeight="1" x14ac:dyDescent="0.2">
      <c r="A14" s="622"/>
      <c r="B14" s="97" t="s">
        <v>25</v>
      </c>
      <c r="C14" s="53">
        <v>82</v>
      </c>
      <c r="D14" s="48" t="s">
        <v>16</v>
      </c>
      <c r="E14" s="11"/>
      <c r="F14" s="8" t="s">
        <v>775</v>
      </c>
      <c r="G14" s="240">
        <v>147</v>
      </c>
      <c r="H14" s="225">
        <v>0</v>
      </c>
      <c r="I14" s="225">
        <f t="shared" si="0"/>
        <v>147</v>
      </c>
      <c r="J14" s="307">
        <f t="shared" si="1"/>
        <v>0.26727272727272727</v>
      </c>
      <c r="K14" s="57"/>
    </row>
    <row r="15" spans="1:11" ht="21.6" customHeight="1" x14ac:dyDescent="0.2">
      <c r="A15" s="444" t="s">
        <v>166</v>
      </c>
      <c r="B15" s="446" t="s">
        <v>89</v>
      </c>
      <c r="C15" s="113">
        <f>C16</f>
        <v>84</v>
      </c>
      <c r="D15" s="94"/>
      <c r="E15" s="11"/>
      <c r="F15" s="8" t="s">
        <v>776</v>
      </c>
      <c r="G15" s="240">
        <v>27</v>
      </c>
      <c r="H15" s="225">
        <v>2</v>
      </c>
      <c r="I15" s="225">
        <f t="shared" si="0"/>
        <v>29</v>
      </c>
      <c r="J15" s="307">
        <f t="shared" si="1"/>
        <v>5.2727272727272727E-2</v>
      </c>
      <c r="K15" s="57"/>
    </row>
    <row r="16" spans="1:11" ht="20.100000000000001" customHeight="1" x14ac:dyDescent="0.2">
      <c r="A16" s="445"/>
      <c r="B16" s="492" t="s">
        <v>11</v>
      </c>
      <c r="C16" s="53">
        <v>84</v>
      </c>
      <c r="D16" s="48" t="s">
        <v>16</v>
      </c>
      <c r="E16" s="11"/>
      <c r="F16" s="8" t="s">
        <v>777</v>
      </c>
      <c r="G16" s="240">
        <v>10</v>
      </c>
      <c r="H16" s="225">
        <v>2</v>
      </c>
      <c r="I16" s="225">
        <f t="shared" si="0"/>
        <v>12</v>
      </c>
      <c r="J16" s="307">
        <f t="shared" si="1"/>
        <v>2.181818181818182E-2</v>
      </c>
      <c r="K16" s="57"/>
    </row>
    <row r="17" spans="1:11" ht="21.6" customHeight="1" x14ac:dyDescent="0.2">
      <c r="A17" s="445"/>
      <c r="B17" s="446" t="s">
        <v>94</v>
      </c>
      <c r="C17" s="113">
        <f>C18</f>
        <v>7</v>
      </c>
      <c r="D17" s="94"/>
      <c r="E17" s="11"/>
      <c r="F17" s="8" t="s">
        <v>778</v>
      </c>
      <c r="G17" s="240">
        <v>0</v>
      </c>
      <c r="H17" s="309">
        <v>41</v>
      </c>
      <c r="I17" s="225">
        <f t="shared" si="0"/>
        <v>41</v>
      </c>
      <c r="J17" s="307">
        <f t="shared" si="1"/>
        <v>7.454545454545454E-2</v>
      </c>
      <c r="K17" s="57"/>
    </row>
    <row r="18" spans="1:11" ht="21.6" customHeight="1" x14ac:dyDescent="0.2">
      <c r="A18" s="445"/>
      <c r="B18" s="97" t="s">
        <v>167</v>
      </c>
      <c r="C18" s="240">
        <v>7</v>
      </c>
      <c r="D18" s="308">
        <v>1</v>
      </c>
      <c r="E18" s="11"/>
      <c r="F18" s="8" t="s">
        <v>779</v>
      </c>
      <c r="G18" s="240">
        <v>18</v>
      </c>
      <c r="H18" s="225">
        <v>0</v>
      </c>
      <c r="I18" s="225">
        <f t="shared" si="0"/>
        <v>18</v>
      </c>
      <c r="J18" s="307">
        <f t="shared" si="1"/>
        <v>3.272727272727273E-2</v>
      </c>
      <c r="K18" s="57"/>
    </row>
    <row r="19" spans="1:11" ht="21.6" customHeight="1" x14ac:dyDescent="0.2">
      <c r="A19" s="445"/>
      <c r="B19" s="446" t="s">
        <v>97</v>
      </c>
      <c r="C19" s="113">
        <f>C20</f>
        <v>8</v>
      </c>
      <c r="D19" s="94"/>
      <c r="E19" s="11"/>
      <c r="F19" s="8" t="s">
        <v>780</v>
      </c>
      <c r="G19" s="240">
        <v>9</v>
      </c>
      <c r="H19" s="225">
        <v>0</v>
      </c>
      <c r="I19" s="225">
        <f t="shared" si="0"/>
        <v>9</v>
      </c>
      <c r="J19" s="307">
        <f t="shared" si="1"/>
        <v>1.6363636363636365E-2</v>
      </c>
      <c r="K19" s="57"/>
    </row>
    <row r="20" spans="1:11" ht="21.6" customHeight="1" x14ac:dyDescent="0.2">
      <c r="A20" s="442"/>
      <c r="B20" s="97" t="s">
        <v>20</v>
      </c>
      <c r="C20" s="240">
        <v>8</v>
      </c>
      <c r="D20" s="308">
        <v>1</v>
      </c>
      <c r="E20" s="11"/>
      <c r="F20" s="8" t="s">
        <v>781</v>
      </c>
      <c r="G20" s="240">
        <v>0</v>
      </c>
      <c r="H20" s="225">
        <v>0</v>
      </c>
      <c r="I20" s="225">
        <f t="shared" si="0"/>
        <v>0</v>
      </c>
      <c r="J20" s="307">
        <f t="shared" si="1"/>
        <v>0</v>
      </c>
      <c r="K20" s="57"/>
    </row>
    <row r="21" spans="1:11" ht="21.6" customHeight="1" x14ac:dyDescent="0.2">
      <c r="A21" s="444" t="s">
        <v>168</v>
      </c>
      <c r="B21" s="446" t="s">
        <v>76</v>
      </c>
      <c r="C21" s="113">
        <f>SUM(C22:C23)</f>
        <v>6</v>
      </c>
      <c r="D21" s="94"/>
      <c r="E21" s="11"/>
      <c r="F21" s="8" t="s">
        <v>782</v>
      </c>
      <c r="G21" s="240">
        <v>0</v>
      </c>
      <c r="H21" s="225">
        <v>20</v>
      </c>
      <c r="I21" s="225">
        <f t="shared" si="0"/>
        <v>20</v>
      </c>
      <c r="J21" s="307">
        <f t="shared" si="1"/>
        <v>3.6363636363636362E-2</v>
      </c>
      <c r="K21" s="57"/>
    </row>
    <row r="22" spans="1:11" ht="21.6" customHeight="1" x14ac:dyDescent="0.2">
      <c r="A22" s="445"/>
      <c r="B22" s="97" t="s">
        <v>169</v>
      </c>
      <c r="C22" s="240">
        <v>6</v>
      </c>
      <c r="D22" s="308">
        <v>1</v>
      </c>
      <c r="E22" s="55"/>
      <c r="F22" s="8" t="s">
        <v>783</v>
      </c>
      <c r="G22" s="240">
        <v>0</v>
      </c>
      <c r="H22" s="225">
        <v>53</v>
      </c>
      <c r="I22" s="225">
        <f t="shared" si="0"/>
        <v>53</v>
      </c>
      <c r="J22" s="307">
        <f t="shared" si="1"/>
        <v>9.636363636363636E-2</v>
      </c>
      <c r="K22" s="57"/>
    </row>
    <row r="23" spans="1:11" ht="22.5" customHeight="1" x14ac:dyDescent="0.2">
      <c r="A23" s="442"/>
      <c r="B23" s="97" t="s">
        <v>14</v>
      </c>
      <c r="C23" s="240">
        <v>0</v>
      </c>
      <c r="D23" s="48" t="s">
        <v>16</v>
      </c>
      <c r="E23" s="55"/>
      <c r="F23" s="8" t="s">
        <v>784</v>
      </c>
      <c r="G23" s="240">
        <v>0</v>
      </c>
      <c r="H23" s="225">
        <v>6</v>
      </c>
      <c r="I23" s="225">
        <f t="shared" si="0"/>
        <v>6</v>
      </c>
      <c r="J23" s="307">
        <f t="shared" si="1"/>
        <v>1.090909090909091E-2</v>
      </c>
      <c r="K23" s="57"/>
    </row>
    <row r="24" spans="1:11" ht="22.5" customHeight="1" x14ac:dyDescent="0.2">
      <c r="A24" s="443" t="s">
        <v>170</v>
      </c>
      <c r="B24" s="448" t="s">
        <v>50</v>
      </c>
      <c r="C24" s="109">
        <f>SUM(C4,C7,C9,C13,C15,C17,C19,C21)</f>
        <v>587</v>
      </c>
      <c r="D24" s="310">
        <v>0.96899999999999997</v>
      </c>
      <c r="E24" s="55"/>
      <c r="F24" s="8" t="s">
        <v>785</v>
      </c>
      <c r="G24" s="240">
        <v>0</v>
      </c>
      <c r="H24" s="225">
        <v>9</v>
      </c>
      <c r="I24" s="225">
        <f t="shared" si="0"/>
        <v>9</v>
      </c>
      <c r="J24" s="307">
        <f t="shared" si="1"/>
        <v>1.6363636363636365E-2</v>
      </c>
      <c r="K24" s="57"/>
    </row>
    <row r="25" spans="1:11" ht="22.5" customHeight="1" x14ac:dyDescent="0.2">
      <c r="A25" s="563" t="s">
        <v>789</v>
      </c>
      <c r="B25" s="563"/>
      <c r="C25" s="563"/>
      <c r="D25" s="563"/>
      <c r="E25" s="440"/>
      <c r="F25" s="8" t="s">
        <v>786</v>
      </c>
      <c r="G25" s="240">
        <v>1</v>
      </c>
      <c r="H25" s="225">
        <v>3</v>
      </c>
      <c r="I25" s="225">
        <f t="shared" si="0"/>
        <v>4</v>
      </c>
      <c r="J25" s="307">
        <f t="shared" si="1"/>
        <v>7.2727272727272727E-3</v>
      </c>
      <c r="K25" s="57"/>
    </row>
    <row r="26" spans="1:11" ht="22.5" customHeight="1" x14ac:dyDescent="0.2">
      <c r="A26" s="709"/>
      <c r="B26" s="709"/>
      <c r="C26" s="709"/>
      <c r="D26" s="709"/>
      <c r="E26" s="440"/>
      <c r="F26" s="8" t="s">
        <v>787</v>
      </c>
      <c r="G26" s="240">
        <v>6</v>
      </c>
      <c r="H26" s="225">
        <v>0</v>
      </c>
      <c r="I26" s="225">
        <f t="shared" si="0"/>
        <v>6</v>
      </c>
      <c r="J26" s="307">
        <f t="shared" si="1"/>
        <v>1.090909090909091E-2</v>
      </c>
      <c r="K26" s="57"/>
    </row>
    <row r="27" spans="1:11" ht="22.5" customHeight="1" x14ac:dyDescent="0.2">
      <c r="A27" s="487"/>
      <c r="B27" s="487"/>
      <c r="C27" s="488"/>
      <c r="D27" s="489"/>
      <c r="E27" s="440"/>
      <c r="F27" s="8" t="s">
        <v>788</v>
      </c>
      <c r="G27" s="240">
        <v>4</v>
      </c>
      <c r="H27" s="225">
        <v>0</v>
      </c>
      <c r="I27" s="225">
        <f t="shared" si="0"/>
        <v>4</v>
      </c>
      <c r="J27" s="307">
        <f t="shared" si="1"/>
        <v>7.2727272727272727E-3</v>
      </c>
      <c r="K27" s="57"/>
    </row>
    <row r="28" spans="1:11" ht="22.5" customHeight="1" x14ac:dyDescent="0.2">
      <c r="A28" s="708"/>
      <c r="B28" s="708"/>
      <c r="C28" s="708"/>
      <c r="D28" s="708"/>
      <c r="E28" s="293"/>
      <c r="F28" s="8" t="s">
        <v>790</v>
      </c>
      <c r="G28" s="240">
        <v>0</v>
      </c>
      <c r="H28" s="225">
        <v>0</v>
      </c>
      <c r="I28" s="225">
        <f t="shared" si="0"/>
        <v>0</v>
      </c>
      <c r="J28" s="307">
        <f t="shared" si="1"/>
        <v>0</v>
      </c>
      <c r="K28" s="57"/>
    </row>
    <row r="29" spans="1:11" ht="21.6" customHeight="1" x14ac:dyDescent="0.2">
      <c r="A29" s="708"/>
      <c r="B29" s="708"/>
      <c r="C29" s="708"/>
      <c r="D29" s="708"/>
      <c r="E29" s="293"/>
      <c r="F29" s="8" t="s">
        <v>791</v>
      </c>
      <c r="G29" s="240">
        <v>1</v>
      </c>
      <c r="H29" s="225">
        <v>0</v>
      </c>
      <c r="I29" s="225">
        <f t="shared" si="0"/>
        <v>1</v>
      </c>
      <c r="J29" s="307">
        <f t="shared" si="1"/>
        <v>1.8181818181818182E-3</v>
      </c>
      <c r="K29" s="57"/>
    </row>
    <row r="30" spans="1:11" ht="21.6" customHeight="1" x14ac:dyDescent="0.2">
      <c r="A30" s="490"/>
      <c r="B30" s="490"/>
      <c r="C30" s="490"/>
      <c r="D30" s="491"/>
      <c r="E30" s="85"/>
      <c r="F30" s="8" t="s">
        <v>792</v>
      </c>
      <c r="G30" s="240">
        <v>0</v>
      </c>
      <c r="H30" s="225">
        <v>0</v>
      </c>
      <c r="I30" s="225">
        <f t="shared" si="0"/>
        <v>0</v>
      </c>
      <c r="J30" s="307">
        <f t="shared" si="1"/>
        <v>0</v>
      </c>
      <c r="K30" s="57"/>
    </row>
    <row r="31" spans="1:11" ht="15" customHeight="1" x14ac:dyDescent="0.2">
      <c r="A31" s="490"/>
      <c r="B31" s="491"/>
      <c r="C31" s="491"/>
      <c r="D31" s="491"/>
      <c r="E31" s="85"/>
      <c r="F31" s="8" t="s">
        <v>793</v>
      </c>
      <c r="G31" s="240">
        <v>0</v>
      </c>
      <c r="H31" s="225">
        <v>0</v>
      </c>
      <c r="I31" s="225">
        <f t="shared" si="0"/>
        <v>0</v>
      </c>
      <c r="J31" s="307">
        <f t="shared" si="1"/>
        <v>0</v>
      </c>
      <c r="K31" s="57"/>
    </row>
    <row r="32" spans="1:11" ht="21.6" customHeight="1" x14ac:dyDescent="0.2">
      <c r="E32" s="85"/>
      <c r="F32" s="8" t="s">
        <v>794</v>
      </c>
      <c r="G32" s="240">
        <v>1</v>
      </c>
      <c r="H32" s="225">
        <v>0</v>
      </c>
      <c r="I32" s="225">
        <f t="shared" si="0"/>
        <v>1</v>
      </c>
      <c r="J32" s="307">
        <f t="shared" si="1"/>
        <v>1.8181818181818182E-3</v>
      </c>
      <c r="K32" s="57"/>
    </row>
    <row r="33" spans="5:11" ht="21.6" customHeight="1" x14ac:dyDescent="0.2">
      <c r="E33" s="85"/>
      <c r="F33" s="8" t="s">
        <v>795</v>
      </c>
      <c r="G33" s="240">
        <v>0</v>
      </c>
      <c r="H33" s="225">
        <v>0</v>
      </c>
      <c r="I33" s="225">
        <f t="shared" si="0"/>
        <v>0</v>
      </c>
      <c r="J33" s="307">
        <f t="shared" si="1"/>
        <v>0</v>
      </c>
      <c r="K33" s="57"/>
    </row>
    <row r="34" spans="5:11" ht="21.6" customHeight="1" x14ac:dyDescent="0.2">
      <c r="E34" s="85"/>
      <c r="F34" s="8" t="s">
        <v>796</v>
      </c>
      <c r="G34" s="240">
        <v>1</v>
      </c>
      <c r="H34" s="225">
        <v>0</v>
      </c>
      <c r="I34" s="225">
        <f t="shared" si="0"/>
        <v>1</v>
      </c>
      <c r="J34" s="307">
        <f t="shared" si="1"/>
        <v>1.8181818181818182E-3</v>
      </c>
      <c r="K34" s="57"/>
    </row>
    <row r="35" spans="5:11" ht="21.6" customHeight="1" x14ac:dyDescent="0.2">
      <c r="E35" s="85"/>
      <c r="F35" s="8" t="s">
        <v>797</v>
      </c>
      <c r="G35" s="240">
        <v>0</v>
      </c>
      <c r="H35" s="225">
        <v>0</v>
      </c>
      <c r="I35" s="225">
        <f t="shared" si="0"/>
        <v>0</v>
      </c>
      <c r="J35" s="307">
        <f t="shared" si="1"/>
        <v>0</v>
      </c>
      <c r="K35" s="57"/>
    </row>
    <row r="36" spans="5:11" ht="21.6" customHeight="1" x14ac:dyDescent="0.2">
      <c r="E36" s="85"/>
      <c r="F36" s="8" t="s">
        <v>798</v>
      </c>
      <c r="G36" s="225">
        <v>0</v>
      </c>
      <c r="H36" s="225">
        <v>0</v>
      </c>
      <c r="I36" s="225">
        <f t="shared" si="0"/>
        <v>0</v>
      </c>
      <c r="J36" s="307">
        <f t="shared" si="1"/>
        <v>0</v>
      </c>
      <c r="K36" s="57"/>
    </row>
    <row r="37" spans="5:11" ht="21.6" customHeight="1" x14ac:dyDescent="0.2">
      <c r="E37" s="85"/>
      <c r="F37" s="8" t="s">
        <v>799</v>
      </c>
      <c r="G37" s="311">
        <v>1</v>
      </c>
      <c r="H37" s="225">
        <v>0</v>
      </c>
      <c r="I37" s="225">
        <f t="shared" si="0"/>
        <v>1</v>
      </c>
      <c r="J37" s="307">
        <f t="shared" si="1"/>
        <v>1.8181818181818182E-3</v>
      </c>
      <c r="K37" s="57"/>
    </row>
    <row r="38" spans="5:11" ht="21.6" customHeight="1" x14ac:dyDescent="0.2">
      <c r="E38" s="85"/>
      <c r="F38" s="39" t="s">
        <v>90</v>
      </c>
      <c r="G38" s="312">
        <f>SUM(G12:G37)</f>
        <v>252</v>
      </c>
      <c r="H38" s="312">
        <f>SUM(H12:H37)</f>
        <v>298</v>
      </c>
      <c r="I38" s="312">
        <f t="shared" si="0"/>
        <v>550</v>
      </c>
      <c r="J38" s="313">
        <f t="shared" si="1"/>
        <v>1</v>
      </c>
      <c r="K38" s="57"/>
    </row>
    <row r="39" spans="5:11" ht="21.6" customHeight="1" x14ac:dyDescent="0.2">
      <c r="E39" s="7"/>
      <c r="F39" s="563" t="s">
        <v>800</v>
      </c>
      <c r="G39" s="563"/>
      <c r="H39" s="563"/>
      <c r="I39" s="563"/>
      <c r="J39" s="563"/>
      <c r="K39" s="23"/>
    </row>
    <row r="40" spans="5:11" ht="21.6" customHeight="1" x14ac:dyDescent="0.2">
      <c r="E40" s="7"/>
      <c r="F40" s="564"/>
      <c r="G40" s="564"/>
      <c r="H40" s="564"/>
      <c r="I40" s="564"/>
      <c r="J40" s="564"/>
      <c r="K40" s="23"/>
    </row>
    <row r="41" spans="5:11" ht="21.6" customHeight="1" x14ac:dyDescent="0.2">
      <c r="E41" s="7"/>
      <c r="F41" s="23"/>
      <c r="G41" s="23"/>
      <c r="H41" s="23"/>
      <c r="I41" s="23"/>
      <c r="J41" s="23"/>
      <c r="K41" s="23"/>
    </row>
    <row r="42" spans="5:11" ht="21.6" customHeight="1" x14ac:dyDescent="0.2">
      <c r="E42" s="7"/>
      <c r="F42" s="23"/>
      <c r="G42" s="23"/>
      <c r="H42" s="23"/>
      <c r="I42" s="23"/>
      <c r="J42" s="23"/>
      <c r="K42" s="23"/>
    </row>
    <row r="43" spans="5:11" ht="27.6" customHeight="1" x14ac:dyDescent="0.2">
      <c r="E43" s="7"/>
      <c r="F43" s="23"/>
      <c r="G43" s="23"/>
      <c r="H43" s="23"/>
      <c r="I43" s="23"/>
      <c r="J43" s="23"/>
      <c r="K43" s="23"/>
    </row>
    <row r="44" spans="5:11" ht="15" customHeight="1" x14ac:dyDescent="0.2">
      <c r="F44" s="23"/>
      <c r="G44" s="23"/>
      <c r="H44" s="23"/>
      <c r="I44" s="23"/>
      <c r="J44" s="23"/>
    </row>
    <row r="45" spans="5:11" ht="15" customHeight="1" x14ac:dyDescent="0.2">
      <c r="F45" s="23"/>
      <c r="G45" s="23"/>
      <c r="H45" s="23"/>
      <c r="I45" s="23"/>
      <c r="J45" s="23"/>
    </row>
    <row r="46" spans="5:11" ht="15" customHeight="1" x14ac:dyDescent="0.2">
      <c r="F46" s="23"/>
      <c r="G46" s="23"/>
      <c r="H46" s="23"/>
      <c r="I46" s="23"/>
      <c r="J46" s="23"/>
    </row>
    <row r="47" spans="5:11" ht="15" customHeight="1" x14ac:dyDescent="0.2">
      <c r="F47" s="23"/>
      <c r="G47" s="23"/>
      <c r="H47" s="23"/>
      <c r="I47" s="23"/>
      <c r="J47" s="23"/>
    </row>
    <row r="48" spans="5:11" ht="15" customHeight="1" x14ac:dyDescent="0.2">
      <c r="F48" s="23"/>
      <c r="G48" s="23"/>
      <c r="H48" s="23"/>
      <c r="I48" s="23"/>
      <c r="J48" s="23"/>
    </row>
    <row r="49" spans="6:10" ht="15" customHeight="1" x14ac:dyDescent="0.2">
      <c r="F49" s="23"/>
      <c r="G49" s="23"/>
      <c r="H49" s="23"/>
      <c r="I49" s="23"/>
      <c r="J49" s="23"/>
    </row>
    <row r="50" spans="6:10" ht="15" customHeight="1" x14ac:dyDescent="0.2">
      <c r="F50" s="23"/>
      <c r="G50" s="23"/>
      <c r="H50" s="23"/>
      <c r="I50" s="23"/>
      <c r="J50" s="23"/>
    </row>
    <row r="51" spans="6:10" ht="15" customHeight="1" x14ac:dyDescent="0.2">
      <c r="F51" s="23"/>
      <c r="G51" s="23"/>
      <c r="H51" s="23"/>
      <c r="I51" s="23"/>
      <c r="J51" s="23"/>
    </row>
    <row r="52" spans="6:10" ht="15" customHeight="1" x14ac:dyDescent="0.2"/>
    <row r="53" spans="6:10" ht="15" customHeight="1" x14ac:dyDescent="0.2"/>
    <row r="54" spans="6:10" ht="15" customHeight="1" x14ac:dyDescent="0.2"/>
    <row r="55" spans="6:10" ht="15" customHeight="1" x14ac:dyDescent="0.2"/>
    <row r="56" spans="6:10" ht="15" customHeight="1" x14ac:dyDescent="0.2"/>
    <row r="57" spans="6:10" ht="15" customHeight="1" x14ac:dyDescent="0.2"/>
    <row r="58" spans="6:10" ht="15" customHeight="1" x14ac:dyDescent="0.2"/>
    <row r="59" spans="6:10" ht="15" customHeight="1" x14ac:dyDescent="0.2"/>
    <row r="60" spans="6:10" ht="15" customHeight="1" x14ac:dyDescent="0.2"/>
    <row r="61" spans="6:10" ht="15" customHeight="1" x14ac:dyDescent="0.2"/>
    <row r="62" spans="6:10" ht="15" customHeight="1" x14ac:dyDescent="0.2"/>
    <row r="63" spans="6:10" ht="15" customHeight="1" x14ac:dyDescent="0.2"/>
    <row r="64" spans="6:10" ht="15" customHeight="1" x14ac:dyDescent="0.2"/>
  </sheetData>
  <sheetProtection algorithmName="SHA-512" hashValue="Z3g9UI8Zc5K7zfegbF+8WbKSooHW1aaDzHEAU8XCgs9B1Ui4LwEME45SxEwxAd1vM2BRGMnPFD/fyEnPjAHCBA==" saltValue="CSIQ3Jnt/BbRZkZedtHSWQ==" spinCount="100000" sheet="1" objects="1" scenarios="1"/>
  <mergeCells count="6">
    <mergeCell ref="A1:E1"/>
    <mergeCell ref="A28:D29"/>
    <mergeCell ref="F39:J40"/>
    <mergeCell ref="A25:D26"/>
    <mergeCell ref="A4:A6"/>
    <mergeCell ref="A7: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51"/>
  <sheetViews>
    <sheetView showGridLines="0" showRuler="0" workbookViewId="0">
      <selection activeCell="D11" sqref="D11"/>
    </sheetView>
  </sheetViews>
  <sheetFormatPr defaultColWidth="13.140625" defaultRowHeight="12.75" x14ac:dyDescent="0.2"/>
  <cols>
    <col min="1" max="1" width="28" customWidth="1"/>
    <col min="2" max="3" width="23.85546875" customWidth="1"/>
    <col min="4" max="4" width="114.42578125" customWidth="1"/>
    <col min="5" max="5" width="14.42578125" customWidth="1"/>
  </cols>
  <sheetData>
    <row r="1" spans="1:5" ht="15.75" x14ac:dyDescent="0.25">
      <c r="A1" s="560" t="s">
        <v>801</v>
      </c>
      <c r="B1" s="560"/>
      <c r="C1" s="560"/>
      <c r="D1" s="560"/>
      <c r="E1" s="23"/>
    </row>
    <row r="2" spans="1:5" x14ac:dyDescent="0.2">
      <c r="A2" s="2"/>
      <c r="B2" s="24"/>
      <c r="C2" s="24"/>
      <c r="D2" s="24"/>
      <c r="E2" s="23"/>
    </row>
    <row r="3" spans="1:5" ht="47.45" customHeight="1" x14ac:dyDescent="0.2">
      <c r="A3" s="461" t="s">
        <v>1199</v>
      </c>
      <c r="B3" s="4" t="s">
        <v>802</v>
      </c>
      <c r="C3" s="4" t="s">
        <v>803</v>
      </c>
      <c r="D3" s="4" t="s">
        <v>804</v>
      </c>
      <c r="E3" s="57"/>
    </row>
    <row r="4" spans="1:5" ht="21.6" customHeight="1" x14ac:dyDescent="0.2">
      <c r="A4" s="623" t="s">
        <v>154</v>
      </c>
      <c r="B4" s="212" t="s">
        <v>72</v>
      </c>
      <c r="C4" s="301"/>
      <c r="D4" s="303"/>
      <c r="E4" s="57"/>
    </row>
    <row r="5" spans="1:5" ht="21.6" customHeight="1" x14ac:dyDescent="0.2">
      <c r="A5" s="623"/>
      <c r="B5" s="219" t="s">
        <v>41</v>
      </c>
      <c r="C5" s="225">
        <v>2019</v>
      </c>
      <c r="D5" s="8" t="s">
        <v>805</v>
      </c>
      <c r="E5" s="57"/>
    </row>
    <row r="6" spans="1:5" ht="21.6" customHeight="1" x14ac:dyDescent="0.2">
      <c r="A6" s="561"/>
      <c r="B6" s="219" t="s">
        <v>158</v>
      </c>
      <c r="C6" s="225">
        <v>2019</v>
      </c>
      <c r="D6" s="8" t="s">
        <v>806</v>
      </c>
      <c r="E6" s="57"/>
    </row>
    <row r="7" spans="1:5" ht="21.6" customHeight="1" x14ac:dyDescent="0.2">
      <c r="A7" s="623"/>
      <c r="B7" s="219" t="s">
        <v>807</v>
      </c>
      <c r="C7" s="225">
        <v>2020</v>
      </c>
      <c r="D7" s="8" t="s">
        <v>808</v>
      </c>
      <c r="E7" s="57"/>
    </row>
    <row r="8" spans="1:5" ht="21.6" customHeight="1" x14ac:dyDescent="0.2">
      <c r="A8" s="623" t="s">
        <v>160</v>
      </c>
      <c r="B8" s="212" t="s">
        <v>342</v>
      </c>
      <c r="C8" s="314"/>
      <c r="D8" s="39"/>
      <c r="E8" s="57"/>
    </row>
    <row r="9" spans="1:5" ht="39" customHeight="1" x14ac:dyDescent="0.2">
      <c r="A9" s="623"/>
      <c r="B9" s="219" t="s">
        <v>19</v>
      </c>
      <c r="C9" s="225">
        <v>2020</v>
      </c>
      <c r="D9" s="8" t="s">
        <v>809</v>
      </c>
      <c r="E9" s="57"/>
    </row>
    <row r="10" spans="1:5" ht="21.6" customHeight="1" x14ac:dyDescent="0.2">
      <c r="A10" s="623"/>
      <c r="B10" s="212" t="s">
        <v>82</v>
      </c>
      <c r="C10" s="301"/>
      <c r="D10" s="303"/>
      <c r="E10" s="57"/>
    </row>
    <row r="11" spans="1:5" ht="21.6" customHeight="1" x14ac:dyDescent="0.2">
      <c r="A11" s="623"/>
      <c r="B11" s="219" t="s">
        <v>163</v>
      </c>
      <c r="C11" s="218" t="s">
        <v>810</v>
      </c>
      <c r="D11" s="8" t="s">
        <v>811</v>
      </c>
      <c r="E11" s="57"/>
    </row>
    <row r="12" spans="1:5" ht="21.6" customHeight="1" x14ac:dyDescent="0.2">
      <c r="A12" s="623"/>
      <c r="B12" s="219" t="s">
        <v>164</v>
      </c>
      <c r="C12" s="218" t="s">
        <v>810</v>
      </c>
      <c r="D12" s="8" t="s">
        <v>812</v>
      </c>
      <c r="E12" s="57"/>
    </row>
    <row r="13" spans="1:5" ht="21.6" customHeight="1" x14ac:dyDescent="0.2">
      <c r="A13" s="623"/>
      <c r="B13" s="219" t="s">
        <v>29</v>
      </c>
      <c r="C13" s="218" t="s">
        <v>810</v>
      </c>
      <c r="D13" s="8" t="s">
        <v>811</v>
      </c>
      <c r="E13" s="57"/>
    </row>
    <row r="14" spans="1:5" ht="21.6" customHeight="1" x14ac:dyDescent="0.2">
      <c r="A14" s="623"/>
      <c r="B14" s="212" t="s">
        <v>103</v>
      </c>
      <c r="C14" s="315"/>
      <c r="D14" s="315"/>
      <c r="E14" s="57"/>
    </row>
    <row r="15" spans="1:5" ht="21.6" customHeight="1" x14ac:dyDescent="0.2">
      <c r="A15" s="623"/>
      <c r="B15" s="219" t="s">
        <v>813</v>
      </c>
      <c r="C15" s="225">
        <v>2017</v>
      </c>
      <c r="D15" s="8" t="s">
        <v>814</v>
      </c>
      <c r="E15" s="57"/>
    </row>
    <row r="16" spans="1:5" ht="21.6" customHeight="1" x14ac:dyDescent="0.2">
      <c r="A16" s="623"/>
      <c r="B16" s="212" t="s">
        <v>86</v>
      </c>
      <c r="C16" s="301"/>
      <c r="D16" s="303"/>
      <c r="E16" s="57"/>
    </row>
    <row r="17" spans="1:5" ht="21.6" customHeight="1" x14ac:dyDescent="0.2">
      <c r="A17" s="623"/>
      <c r="B17" s="219" t="s">
        <v>25</v>
      </c>
      <c r="C17" s="218" t="s">
        <v>810</v>
      </c>
      <c r="D17" s="8" t="s">
        <v>812</v>
      </c>
      <c r="E17" s="57"/>
    </row>
    <row r="18" spans="1:5" ht="21.6" customHeight="1" x14ac:dyDescent="0.2">
      <c r="A18" s="623" t="s">
        <v>166</v>
      </c>
      <c r="B18" s="212" t="s">
        <v>89</v>
      </c>
      <c r="C18" s="301"/>
      <c r="D18" s="303"/>
      <c r="E18" s="57"/>
    </row>
    <row r="19" spans="1:5" ht="21.6" customHeight="1" x14ac:dyDescent="0.2">
      <c r="A19" s="623"/>
      <c r="B19" s="219" t="s">
        <v>11</v>
      </c>
      <c r="C19" s="218" t="s">
        <v>810</v>
      </c>
      <c r="D19" s="8" t="s">
        <v>815</v>
      </c>
      <c r="E19" s="57"/>
    </row>
    <row r="20" spans="1:5" ht="21.6" customHeight="1" x14ac:dyDescent="0.2">
      <c r="A20" s="623"/>
      <c r="B20" s="212" t="s">
        <v>94</v>
      </c>
      <c r="C20" s="301"/>
      <c r="D20" s="303"/>
      <c r="E20" s="57"/>
    </row>
    <row r="21" spans="1:5" ht="44.1" customHeight="1" x14ac:dyDescent="0.2">
      <c r="A21" s="623"/>
      <c r="B21" s="219" t="s">
        <v>816</v>
      </c>
      <c r="C21" s="225">
        <v>2019</v>
      </c>
      <c r="D21" s="8" t="s">
        <v>817</v>
      </c>
      <c r="E21" s="57"/>
    </row>
    <row r="22" spans="1:5" ht="21.6" customHeight="1" x14ac:dyDescent="0.2">
      <c r="A22" s="623"/>
      <c r="B22" s="219" t="s">
        <v>167</v>
      </c>
      <c r="C22" s="225">
        <v>2017</v>
      </c>
      <c r="D22" s="8" t="s">
        <v>818</v>
      </c>
      <c r="E22" s="57"/>
    </row>
    <row r="23" spans="1:5" ht="21.6" customHeight="1" x14ac:dyDescent="0.2">
      <c r="A23" s="623"/>
      <c r="B23" s="219" t="s">
        <v>819</v>
      </c>
      <c r="C23" s="225">
        <v>2018</v>
      </c>
      <c r="D23" s="8" t="s">
        <v>820</v>
      </c>
      <c r="E23" s="57"/>
    </row>
    <row r="24" spans="1:5" ht="21.6" customHeight="1" x14ac:dyDescent="0.2">
      <c r="A24" s="623"/>
      <c r="B24" s="212" t="s">
        <v>97</v>
      </c>
      <c r="C24" s="301"/>
      <c r="D24" s="303"/>
      <c r="E24" s="57"/>
    </row>
    <row r="25" spans="1:5" ht="21.6" customHeight="1" x14ac:dyDescent="0.2">
      <c r="A25" s="623"/>
      <c r="B25" s="219" t="s">
        <v>821</v>
      </c>
      <c r="C25" s="225">
        <v>2020</v>
      </c>
      <c r="D25" s="8" t="s">
        <v>808</v>
      </c>
      <c r="E25" s="57"/>
    </row>
    <row r="26" spans="1:5" ht="21.6" customHeight="1" x14ac:dyDescent="0.2">
      <c r="A26" s="623"/>
      <c r="B26" s="219" t="s">
        <v>97</v>
      </c>
      <c r="C26" s="225">
        <v>2018</v>
      </c>
      <c r="D26" s="8" t="s">
        <v>822</v>
      </c>
      <c r="E26" s="57"/>
    </row>
    <row r="27" spans="1:5" ht="21.6" customHeight="1" x14ac:dyDescent="0.2">
      <c r="A27" s="623"/>
      <c r="B27" s="219" t="s">
        <v>823</v>
      </c>
      <c r="C27" s="225">
        <v>2017</v>
      </c>
      <c r="D27" s="40" t="s">
        <v>818</v>
      </c>
      <c r="E27" s="57"/>
    </row>
    <row r="28" spans="1:5" ht="21.6" customHeight="1" x14ac:dyDescent="0.2">
      <c r="A28" s="625" t="s">
        <v>168</v>
      </c>
      <c r="B28" s="212" t="s">
        <v>76</v>
      </c>
      <c r="C28" s="301"/>
      <c r="D28" s="303"/>
      <c r="E28" s="57"/>
    </row>
    <row r="29" spans="1:5" ht="21.6" customHeight="1" x14ac:dyDescent="0.2">
      <c r="A29" s="626"/>
      <c r="B29" s="219" t="s">
        <v>824</v>
      </c>
      <c r="C29" s="225">
        <v>2020</v>
      </c>
      <c r="D29" s="8" t="s">
        <v>825</v>
      </c>
      <c r="E29" s="57"/>
    </row>
    <row r="30" spans="1:5" ht="21.6" customHeight="1" x14ac:dyDescent="0.2">
      <c r="A30" s="626"/>
      <c r="B30" s="219" t="s">
        <v>169</v>
      </c>
      <c r="C30" s="225">
        <v>2019</v>
      </c>
      <c r="D30" s="8" t="s">
        <v>806</v>
      </c>
      <c r="E30" s="57"/>
    </row>
    <row r="31" spans="1:5" ht="21.6" customHeight="1" x14ac:dyDescent="0.2">
      <c r="A31" s="622"/>
      <c r="B31" s="219" t="s">
        <v>14</v>
      </c>
      <c r="C31" s="225">
        <v>2019</v>
      </c>
      <c r="D31" s="8" t="s">
        <v>806</v>
      </c>
      <c r="E31" s="57"/>
    </row>
    <row r="32" spans="1:5" ht="21.6" customHeight="1" x14ac:dyDescent="0.2">
      <c r="A32" s="42" t="s">
        <v>170</v>
      </c>
      <c r="B32" s="36" t="s">
        <v>826</v>
      </c>
      <c r="C32" s="316">
        <v>1</v>
      </c>
      <c r="D32" s="39"/>
      <c r="E32" s="57"/>
    </row>
    <row r="33" spans="1:5" ht="67.5" customHeight="1" x14ac:dyDescent="0.2">
      <c r="A33" s="563" t="s">
        <v>827</v>
      </c>
      <c r="B33" s="575"/>
      <c r="C33" s="575"/>
      <c r="D33" s="575"/>
      <c r="E33" s="23"/>
    </row>
    <row r="34" spans="1:5" ht="15" customHeight="1" x14ac:dyDescent="0.2"/>
    <row r="35" spans="1:5" ht="15" customHeight="1" x14ac:dyDescent="0.2"/>
    <row r="36" spans="1:5" ht="15" customHeight="1" x14ac:dyDescent="0.2"/>
    <row r="37" spans="1:5" ht="15" customHeight="1" x14ac:dyDescent="0.2"/>
    <row r="38" spans="1:5" ht="15" customHeight="1" x14ac:dyDescent="0.2"/>
    <row r="39" spans="1:5" ht="15" customHeight="1" x14ac:dyDescent="0.2"/>
    <row r="40" spans="1:5" ht="15" customHeight="1" x14ac:dyDescent="0.2"/>
    <row r="41" spans="1:5" ht="15" customHeight="1" x14ac:dyDescent="0.2"/>
    <row r="42" spans="1:5" ht="15" customHeight="1" x14ac:dyDescent="0.2"/>
    <row r="43" spans="1:5" ht="15" customHeight="1" x14ac:dyDescent="0.2"/>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sheetData>
  <sheetProtection algorithmName="SHA-512" hashValue="KSGCH5h//sRcF7KwwfB7rm3wp6Fl+XHPCwb9UjHY3whU9nPcRrpwf2GTwDMODsyuVYAsSg1e25rFvtEMJw7oUg==" saltValue="5ZDMRfmIBfiGFwPLnxzzLA==" spinCount="100000" sheet="1" objects="1" scenarios="1"/>
  <mergeCells count="6">
    <mergeCell ref="A33:D33"/>
    <mergeCell ref="A1:D1"/>
    <mergeCell ref="A4:A7"/>
    <mergeCell ref="A8:A17"/>
    <mergeCell ref="A18:A27"/>
    <mergeCell ref="A28:A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W50"/>
  <sheetViews>
    <sheetView showGridLines="0" showRuler="0" workbookViewId="0">
      <selection activeCell="E7" sqref="E7"/>
    </sheetView>
  </sheetViews>
  <sheetFormatPr defaultColWidth="13.140625" defaultRowHeight="12.75" x14ac:dyDescent="0.2"/>
  <cols>
    <col min="1" max="1" width="28" customWidth="1"/>
    <col min="2" max="7" width="22.5703125" customWidth="1"/>
    <col min="8" max="23" width="14.42578125" customWidth="1"/>
  </cols>
  <sheetData>
    <row r="1" spans="1:23" ht="15.75" x14ac:dyDescent="0.25">
      <c r="A1" s="560" t="s">
        <v>828</v>
      </c>
      <c r="B1" s="560"/>
      <c r="C1" s="560"/>
      <c r="D1" s="560"/>
      <c r="E1" s="560"/>
      <c r="F1" s="560"/>
      <c r="G1" s="23"/>
      <c r="H1" s="23"/>
      <c r="I1" s="23"/>
      <c r="J1" s="23"/>
      <c r="K1" s="23"/>
      <c r="L1" s="23"/>
      <c r="M1" s="23"/>
      <c r="N1" s="23"/>
      <c r="O1" s="23"/>
      <c r="P1" s="23"/>
      <c r="Q1" s="23"/>
      <c r="R1" s="23"/>
      <c r="S1" s="23"/>
      <c r="T1" s="23"/>
      <c r="U1" s="23"/>
      <c r="V1" s="23"/>
      <c r="W1" s="23"/>
    </row>
    <row r="2" spans="1:23" x14ac:dyDescent="0.2">
      <c r="A2" s="24"/>
      <c r="B2" s="24"/>
      <c r="C2" s="24"/>
      <c r="D2" s="24"/>
      <c r="E2" s="24"/>
      <c r="F2" s="24"/>
      <c r="G2" s="23"/>
      <c r="H2" s="23"/>
      <c r="I2" s="23"/>
      <c r="J2" s="23"/>
      <c r="K2" s="23"/>
      <c r="L2" s="23"/>
      <c r="M2" s="23"/>
      <c r="N2" s="23"/>
      <c r="O2" s="23"/>
      <c r="P2" s="23"/>
      <c r="Q2" s="23"/>
      <c r="R2" s="23"/>
      <c r="S2" s="23"/>
      <c r="T2" s="23"/>
      <c r="U2" s="23"/>
      <c r="V2" s="23"/>
      <c r="W2" s="23"/>
    </row>
    <row r="3" spans="1:23" x14ac:dyDescent="0.2">
      <c r="A3" s="653" t="s">
        <v>1200</v>
      </c>
      <c r="B3" s="581" t="s">
        <v>142</v>
      </c>
      <c r="C3" s="578" t="s">
        <v>829</v>
      </c>
      <c r="D3" s="579"/>
      <c r="E3" s="579"/>
      <c r="F3" s="580"/>
      <c r="G3" s="317"/>
      <c r="H3" s="23"/>
      <c r="I3" s="23"/>
      <c r="J3" s="23"/>
      <c r="K3" s="23"/>
      <c r="L3" s="23"/>
      <c r="M3" s="23"/>
      <c r="N3" s="23"/>
      <c r="O3" s="23"/>
      <c r="P3" s="23"/>
      <c r="Q3" s="23"/>
      <c r="R3" s="23"/>
      <c r="S3" s="23"/>
      <c r="T3" s="23"/>
      <c r="U3" s="23"/>
      <c r="V3" s="23"/>
      <c r="W3" s="23"/>
    </row>
    <row r="4" spans="1:23" ht="86.65" customHeight="1" x14ac:dyDescent="0.2">
      <c r="A4" s="652"/>
      <c r="B4" s="581"/>
      <c r="C4" s="4" t="s">
        <v>830</v>
      </c>
      <c r="D4" s="4" t="s">
        <v>831</v>
      </c>
      <c r="E4" s="4" t="s">
        <v>832</v>
      </c>
      <c r="F4" s="4" t="s">
        <v>833</v>
      </c>
      <c r="G4" s="57"/>
      <c r="H4" s="23"/>
      <c r="I4" s="23"/>
      <c r="J4" s="23"/>
      <c r="K4" s="23"/>
      <c r="L4" s="23"/>
      <c r="M4" s="23"/>
      <c r="N4" s="23"/>
      <c r="O4" s="23"/>
      <c r="P4" s="23"/>
      <c r="Q4" s="23"/>
      <c r="R4" s="23"/>
      <c r="S4" s="23"/>
      <c r="T4" s="23"/>
      <c r="U4" s="23"/>
      <c r="V4" s="23"/>
    </row>
    <row r="5" spans="1:23" ht="21.6" customHeight="1" x14ac:dyDescent="0.2">
      <c r="A5" s="42" t="s">
        <v>154</v>
      </c>
      <c r="B5" s="5" t="s">
        <v>72</v>
      </c>
      <c r="C5" s="225">
        <v>95</v>
      </c>
      <c r="D5" s="225">
        <v>94</v>
      </c>
      <c r="E5" s="493">
        <v>0.99</v>
      </c>
      <c r="F5" s="225">
        <v>27</v>
      </c>
      <c r="G5" s="57"/>
      <c r="H5" s="23"/>
      <c r="I5" s="23"/>
      <c r="J5" s="23"/>
      <c r="K5" s="23"/>
      <c r="L5" s="23"/>
      <c r="M5" s="23"/>
      <c r="N5" s="23"/>
      <c r="O5" s="23"/>
      <c r="P5" s="23"/>
      <c r="Q5" s="23"/>
      <c r="R5" s="23"/>
      <c r="S5" s="23"/>
      <c r="T5" s="23"/>
      <c r="U5" s="23"/>
      <c r="V5" s="23"/>
    </row>
    <row r="6" spans="1:23" ht="21.6" customHeight="1" x14ac:dyDescent="0.2">
      <c r="A6" s="42" t="s">
        <v>160</v>
      </c>
      <c r="B6" s="5" t="s">
        <v>342</v>
      </c>
      <c r="C6" s="225">
        <v>188</v>
      </c>
      <c r="D6" s="225">
        <v>141</v>
      </c>
      <c r="E6" s="493">
        <v>0.75</v>
      </c>
      <c r="F6" s="225">
        <v>71</v>
      </c>
      <c r="G6" s="57"/>
      <c r="H6" s="23"/>
      <c r="I6" s="23"/>
      <c r="J6" s="23"/>
      <c r="K6" s="23"/>
      <c r="L6" s="23"/>
      <c r="M6" s="23"/>
      <c r="N6" s="23"/>
      <c r="O6" s="23"/>
      <c r="P6" s="23"/>
      <c r="Q6" s="23"/>
      <c r="R6" s="23"/>
      <c r="S6" s="23"/>
      <c r="T6" s="23"/>
      <c r="U6" s="23"/>
      <c r="V6" s="23"/>
    </row>
    <row r="7" spans="1:23" ht="21.6" customHeight="1" x14ac:dyDescent="0.2">
      <c r="A7" s="42" t="s">
        <v>166</v>
      </c>
      <c r="B7" s="5" t="s">
        <v>97</v>
      </c>
      <c r="C7" s="225">
        <v>207</v>
      </c>
      <c r="D7" s="225">
        <v>173</v>
      </c>
      <c r="E7" s="493">
        <v>0.84</v>
      </c>
      <c r="F7" s="225">
        <v>82</v>
      </c>
      <c r="G7" s="57"/>
      <c r="H7" s="23"/>
      <c r="I7" s="23"/>
      <c r="J7" s="23"/>
      <c r="K7" s="23"/>
      <c r="L7" s="23"/>
      <c r="M7" s="23"/>
      <c r="N7" s="23"/>
      <c r="O7" s="23"/>
      <c r="P7" s="23"/>
      <c r="Q7" s="23"/>
      <c r="R7" s="23"/>
      <c r="S7" s="23"/>
      <c r="T7" s="23"/>
      <c r="U7" s="23"/>
      <c r="V7" s="23"/>
    </row>
    <row r="8" spans="1:23" ht="21.6" customHeight="1" x14ac:dyDescent="0.2">
      <c r="A8" s="42" t="s">
        <v>168</v>
      </c>
      <c r="B8" s="5" t="s">
        <v>76</v>
      </c>
      <c r="C8" s="225">
        <v>173</v>
      </c>
      <c r="D8" s="225">
        <v>112</v>
      </c>
      <c r="E8" s="493">
        <v>0.65</v>
      </c>
      <c r="F8" s="225">
        <v>37</v>
      </c>
      <c r="G8" s="57"/>
      <c r="H8" s="23"/>
      <c r="I8" s="23"/>
      <c r="J8" s="23"/>
      <c r="K8" s="23"/>
      <c r="L8" s="23"/>
      <c r="M8" s="23"/>
      <c r="N8" s="23"/>
      <c r="O8" s="23"/>
      <c r="P8" s="23"/>
      <c r="Q8" s="23"/>
      <c r="R8" s="23"/>
      <c r="S8" s="23"/>
      <c r="T8" s="23"/>
      <c r="U8" s="23"/>
      <c r="V8" s="23"/>
    </row>
    <row r="9" spans="1:23" ht="21.6" customHeight="1" x14ac:dyDescent="0.2">
      <c r="A9" s="42" t="s">
        <v>170</v>
      </c>
      <c r="B9" s="36" t="s">
        <v>90</v>
      </c>
      <c r="C9" s="241">
        <v>663</v>
      </c>
      <c r="D9" s="241">
        <v>520</v>
      </c>
      <c r="E9" s="494">
        <v>0.78</v>
      </c>
      <c r="F9" s="241">
        <v>217</v>
      </c>
      <c r="G9" s="57"/>
      <c r="H9" s="23"/>
      <c r="I9" s="23"/>
      <c r="J9" s="23"/>
      <c r="K9" s="23"/>
      <c r="L9" s="23"/>
      <c r="M9" s="23"/>
      <c r="N9" s="23"/>
      <c r="O9" s="23"/>
      <c r="P9" s="23"/>
      <c r="Q9" s="23"/>
      <c r="R9" s="23"/>
      <c r="S9" s="23"/>
      <c r="T9" s="23"/>
      <c r="U9" s="23"/>
      <c r="V9" s="23"/>
    </row>
    <row r="10" spans="1:23" ht="69.95" customHeight="1" x14ac:dyDescent="0.2">
      <c r="A10" s="563" t="s">
        <v>834</v>
      </c>
      <c r="B10" s="563"/>
      <c r="C10" s="563"/>
      <c r="D10" s="563"/>
      <c r="E10" s="563"/>
      <c r="F10" s="563"/>
      <c r="G10" s="30"/>
      <c r="H10" s="23"/>
      <c r="I10" s="23"/>
      <c r="J10" s="23"/>
      <c r="K10" s="23"/>
      <c r="L10" s="23"/>
      <c r="M10" s="23"/>
      <c r="N10" s="23"/>
      <c r="O10" s="23"/>
      <c r="P10" s="23"/>
      <c r="Q10" s="23"/>
      <c r="R10" s="23"/>
      <c r="S10" s="23"/>
      <c r="T10" s="23"/>
      <c r="U10" s="23"/>
      <c r="V10" s="23"/>
      <c r="W10" s="23"/>
    </row>
    <row r="11" spans="1:23" ht="14.1" customHeight="1" x14ac:dyDescent="0.2">
      <c r="A11" s="30"/>
      <c r="B11" s="30"/>
      <c r="C11" s="30"/>
      <c r="D11" s="30"/>
      <c r="E11" s="30"/>
      <c r="F11" s="30"/>
      <c r="G11" s="7"/>
      <c r="H11" s="23"/>
      <c r="I11" s="23"/>
      <c r="J11" s="23"/>
      <c r="K11" s="23"/>
      <c r="L11" s="23"/>
      <c r="M11" s="23"/>
      <c r="N11" s="23"/>
      <c r="O11" s="23"/>
      <c r="P11" s="23"/>
      <c r="Q11" s="23"/>
      <c r="R11" s="23"/>
      <c r="S11" s="23"/>
      <c r="T11" s="23"/>
      <c r="U11" s="23"/>
      <c r="V11" s="23"/>
      <c r="W11" s="23"/>
    </row>
    <row r="12" spans="1:23" ht="14.1" customHeight="1" x14ac:dyDescent="0.2">
      <c r="A12" s="30"/>
      <c r="B12" s="30"/>
      <c r="C12" s="30"/>
      <c r="D12" s="30"/>
      <c r="E12" s="30"/>
      <c r="F12" s="30"/>
      <c r="G12" s="23"/>
      <c r="H12" s="23"/>
      <c r="I12" s="23"/>
      <c r="J12" s="23"/>
      <c r="K12" s="23"/>
      <c r="L12" s="23"/>
      <c r="M12" s="23"/>
      <c r="N12" s="23"/>
      <c r="O12" s="23"/>
      <c r="P12" s="23"/>
      <c r="Q12" s="23"/>
      <c r="R12" s="23"/>
      <c r="S12" s="23"/>
      <c r="T12" s="23"/>
      <c r="U12" s="23"/>
      <c r="V12" s="23"/>
      <c r="W12" s="23"/>
    </row>
    <row r="13" spans="1:23" ht="14.1" customHeight="1" x14ac:dyDescent="0.2">
      <c r="A13" s="30"/>
      <c r="B13" s="30"/>
      <c r="C13" s="30"/>
      <c r="D13" s="30"/>
      <c r="E13" s="30"/>
      <c r="F13" s="30"/>
      <c r="G13" s="23"/>
      <c r="H13" s="23"/>
      <c r="I13" s="23"/>
      <c r="J13" s="23"/>
      <c r="K13" s="23"/>
      <c r="L13" s="23"/>
      <c r="M13" s="23"/>
      <c r="N13" s="23"/>
      <c r="O13" s="23"/>
      <c r="P13" s="23"/>
      <c r="Q13" s="23"/>
      <c r="R13" s="23"/>
      <c r="S13" s="23"/>
      <c r="T13" s="23"/>
      <c r="U13" s="23"/>
      <c r="V13" s="23"/>
      <c r="W13" s="23"/>
    </row>
    <row r="14" spans="1:23" ht="14.1" customHeight="1" x14ac:dyDescent="0.2">
      <c r="A14" s="30"/>
      <c r="B14" s="30"/>
      <c r="C14" s="30"/>
      <c r="D14" s="30"/>
      <c r="E14" s="30"/>
      <c r="F14" s="30"/>
      <c r="G14" s="23"/>
      <c r="H14" s="23"/>
      <c r="I14" s="23"/>
      <c r="J14" s="23"/>
      <c r="K14" s="23"/>
      <c r="L14" s="23"/>
      <c r="M14" s="23"/>
      <c r="N14" s="23"/>
      <c r="O14" s="23"/>
      <c r="P14" s="23"/>
      <c r="Q14" s="23"/>
      <c r="R14" s="23"/>
      <c r="S14" s="23"/>
      <c r="T14" s="23"/>
      <c r="U14" s="23"/>
      <c r="V14" s="23"/>
      <c r="W14" s="23"/>
    </row>
    <row r="15" spans="1:23" ht="14.1" customHeight="1" x14ac:dyDescent="0.2">
      <c r="A15" s="30"/>
      <c r="B15" s="30"/>
      <c r="C15" s="30"/>
      <c r="D15" s="30"/>
      <c r="E15" s="30"/>
      <c r="F15" s="30"/>
      <c r="G15" s="23"/>
      <c r="H15" s="23"/>
      <c r="I15" s="23"/>
      <c r="J15" s="23"/>
      <c r="K15" s="23"/>
      <c r="L15" s="23"/>
      <c r="M15" s="23"/>
      <c r="N15" s="23"/>
      <c r="O15" s="23"/>
      <c r="P15" s="23"/>
      <c r="Q15" s="23"/>
      <c r="R15" s="23"/>
      <c r="S15" s="23"/>
      <c r="T15" s="23"/>
      <c r="U15" s="23"/>
      <c r="V15" s="23"/>
      <c r="W15" s="23"/>
    </row>
    <row r="16" spans="1:23" ht="14.1" customHeight="1" x14ac:dyDescent="0.2">
      <c r="A16" s="30"/>
      <c r="B16" s="30"/>
      <c r="C16" s="30"/>
      <c r="D16" s="30"/>
      <c r="E16" s="30"/>
      <c r="F16" s="30"/>
      <c r="G16" s="23"/>
      <c r="H16" s="23"/>
      <c r="I16" s="23"/>
      <c r="J16" s="23"/>
      <c r="K16" s="23"/>
      <c r="L16" s="23"/>
      <c r="M16" s="23"/>
      <c r="N16" s="23"/>
      <c r="O16" s="23"/>
      <c r="P16" s="23"/>
      <c r="Q16" s="23"/>
      <c r="R16" s="23"/>
      <c r="S16" s="23"/>
      <c r="T16" s="23"/>
      <c r="U16" s="23"/>
      <c r="V16" s="23"/>
      <c r="W16" s="23"/>
    </row>
    <row r="17" spans="1:23" ht="14.1" customHeight="1" x14ac:dyDescent="0.2">
      <c r="A17" s="23"/>
      <c r="B17" s="23"/>
      <c r="C17" s="23"/>
      <c r="D17" s="23"/>
      <c r="E17" s="23"/>
      <c r="F17" s="23"/>
      <c r="G17" s="23"/>
      <c r="H17" s="23"/>
      <c r="I17" s="23"/>
      <c r="J17" s="23"/>
      <c r="K17" s="23"/>
      <c r="L17" s="23"/>
      <c r="M17" s="23"/>
      <c r="N17" s="23"/>
      <c r="O17" s="23"/>
      <c r="P17" s="23"/>
      <c r="Q17" s="23"/>
      <c r="R17" s="23"/>
      <c r="S17" s="23"/>
      <c r="T17" s="23"/>
      <c r="U17" s="23"/>
      <c r="V17" s="23"/>
      <c r="W17" s="23"/>
    </row>
    <row r="18" spans="1:23" ht="14.1"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row>
    <row r="19" spans="1:23" ht="14.1" customHeight="1" x14ac:dyDescent="0.2">
      <c r="A19" s="23"/>
      <c r="B19" s="23"/>
      <c r="C19" s="23"/>
      <c r="D19" s="23"/>
      <c r="E19" s="23"/>
      <c r="F19" s="23"/>
      <c r="G19" s="23"/>
      <c r="H19" s="23"/>
      <c r="I19" s="23"/>
      <c r="J19" s="23"/>
      <c r="K19" s="23"/>
      <c r="L19" s="23"/>
      <c r="M19" s="23"/>
      <c r="N19" s="23"/>
      <c r="O19" s="23"/>
      <c r="P19" s="23"/>
      <c r="Q19" s="23"/>
      <c r="R19" s="23"/>
      <c r="S19" s="23"/>
      <c r="T19" s="23"/>
      <c r="U19" s="23"/>
      <c r="V19" s="23"/>
      <c r="W19" s="23"/>
    </row>
    <row r="20" spans="1:23" ht="14.1" customHeight="1" x14ac:dyDescent="0.2">
      <c r="A20" s="23"/>
      <c r="B20" s="23"/>
      <c r="C20" s="23"/>
      <c r="D20" s="23"/>
      <c r="E20" s="23"/>
      <c r="F20" s="23"/>
      <c r="G20" s="23"/>
      <c r="H20" s="23"/>
      <c r="I20" s="23"/>
      <c r="J20" s="23"/>
      <c r="K20" s="23"/>
      <c r="L20" s="23"/>
      <c r="M20" s="23"/>
      <c r="N20" s="23"/>
      <c r="O20" s="23"/>
      <c r="P20" s="23"/>
      <c r="Q20" s="23"/>
      <c r="R20" s="23"/>
      <c r="S20" s="23"/>
      <c r="T20" s="23"/>
      <c r="U20" s="23"/>
      <c r="V20" s="23"/>
      <c r="W20" s="23"/>
    </row>
    <row r="21" spans="1:23" ht="14.1"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row>
    <row r="22" spans="1:23" ht="14.1"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row>
    <row r="23" spans="1:23" ht="14.1" customHeight="1" x14ac:dyDescent="0.2">
      <c r="A23" s="23"/>
      <c r="B23" s="23"/>
      <c r="C23" s="23"/>
      <c r="D23" s="23"/>
      <c r="E23" s="23"/>
      <c r="F23" s="23"/>
      <c r="G23" s="23"/>
      <c r="H23" s="23"/>
      <c r="I23" s="23"/>
      <c r="J23" s="23"/>
      <c r="K23" s="23"/>
      <c r="L23" s="23"/>
      <c r="M23" s="23"/>
      <c r="N23" s="23"/>
      <c r="O23" s="23"/>
      <c r="P23" s="23"/>
      <c r="Q23" s="23"/>
      <c r="R23" s="23"/>
      <c r="S23" s="23"/>
      <c r="T23" s="23"/>
      <c r="U23" s="23"/>
      <c r="V23" s="23"/>
      <c r="W23" s="23"/>
    </row>
    <row r="24" spans="1:23" ht="14.1" customHeight="1" x14ac:dyDescent="0.2">
      <c r="A24" s="23"/>
      <c r="B24" s="23"/>
      <c r="C24" s="23"/>
      <c r="D24" s="23"/>
      <c r="E24" s="23"/>
      <c r="F24" s="23"/>
      <c r="G24" s="23"/>
      <c r="H24" s="23"/>
      <c r="I24" s="23"/>
      <c r="J24" s="23"/>
      <c r="K24" s="23"/>
      <c r="L24" s="23"/>
      <c r="M24" s="23"/>
      <c r="N24" s="23"/>
      <c r="O24" s="23"/>
      <c r="P24" s="23"/>
      <c r="Q24" s="23"/>
      <c r="R24" s="23"/>
      <c r="S24" s="23"/>
      <c r="T24" s="23"/>
      <c r="U24" s="23"/>
      <c r="V24" s="23"/>
      <c r="W24" s="23"/>
    </row>
    <row r="25" spans="1:23" ht="14.1" customHeight="1" x14ac:dyDescent="0.2">
      <c r="A25" s="23"/>
      <c r="B25" s="23"/>
      <c r="C25" s="23"/>
      <c r="D25" s="23"/>
      <c r="E25" s="23"/>
      <c r="F25" s="23"/>
      <c r="G25" s="23"/>
      <c r="H25" s="23"/>
      <c r="I25" s="23"/>
      <c r="J25" s="23"/>
      <c r="K25" s="23"/>
      <c r="L25" s="23"/>
      <c r="M25" s="23"/>
      <c r="N25" s="23"/>
      <c r="O25" s="23"/>
      <c r="P25" s="23"/>
      <c r="Q25" s="23"/>
      <c r="R25" s="23"/>
      <c r="S25" s="23"/>
      <c r="T25" s="23"/>
      <c r="U25" s="23"/>
      <c r="V25" s="23"/>
      <c r="W25" s="23"/>
    </row>
    <row r="26" spans="1:23" ht="14.1" customHeight="1" x14ac:dyDescent="0.2">
      <c r="A26" s="23"/>
      <c r="B26" s="23"/>
      <c r="C26" s="23"/>
      <c r="D26" s="23"/>
      <c r="E26" s="23"/>
      <c r="F26" s="23"/>
      <c r="G26" s="23"/>
      <c r="H26" s="23"/>
      <c r="I26" s="23"/>
      <c r="J26" s="23"/>
      <c r="K26" s="23"/>
      <c r="L26" s="23"/>
      <c r="M26" s="23"/>
      <c r="N26" s="23"/>
      <c r="O26" s="23"/>
      <c r="P26" s="23"/>
      <c r="Q26" s="23"/>
      <c r="R26" s="23"/>
      <c r="S26" s="23"/>
      <c r="T26" s="23"/>
      <c r="U26" s="23"/>
      <c r="V26" s="23"/>
      <c r="W26" s="23"/>
    </row>
    <row r="27" spans="1:23" ht="14.1" customHeight="1" x14ac:dyDescent="0.2">
      <c r="A27" s="23"/>
      <c r="B27" s="23"/>
      <c r="C27" s="23"/>
      <c r="D27" s="23"/>
      <c r="E27" s="23"/>
      <c r="F27" s="23"/>
      <c r="G27" s="23"/>
      <c r="H27" s="23"/>
      <c r="I27" s="23"/>
      <c r="J27" s="23"/>
      <c r="K27" s="23"/>
      <c r="L27" s="23"/>
      <c r="M27" s="23"/>
      <c r="N27" s="23"/>
      <c r="O27" s="23"/>
      <c r="P27" s="23"/>
      <c r="Q27" s="23"/>
      <c r="R27" s="23"/>
      <c r="S27" s="23"/>
      <c r="T27" s="23"/>
      <c r="U27" s="23"/>
      <c r="V27" s="23"/>
      <c r="W27" s="23"/>
    </row>
    <row r="28" spans="1:23" ht="14.1" customHeight="1" x14ac:dyDescent="0.2">
      <c r="A28" s="23"/>
      <c r="B28" s="23"/>
      <c r="C28" s="23"/>
      <c r="D28" s="33"/>
      <c r="E28" s="23"/>
      <c r="F28" s="23"/>
      <c r="G28" s="23"/>
      <c r="H28" s="23"/>
      <c r="I28" s="23"/>
      <c r="J28" s="23"/>
      <c r="K28" s="23"/>
      <c r="L28" s="23"/>
      <c r="M28" s="23"/>
      <c r="N28" s="23"/>
      <c r="O28" s="23"/>
      <c r="P28" s="23"/>
      <c r="Q28" s="23"/>
      <c r="R28" s="23"/>
      <c r="S28" s="23"/>
      <c r="T28" s="23"/>
      <c r="U28" s="23"/>
      <c r="V28" s="23"/>
      <c r="W28" s="23"/>
    </row>
    <row r="29" spans="1:23" ht="15" customHeight="1" x14ac:dyDescent="0.2"/>
    <row r="30" spans="1:23" ht="15" customHeight="1" x14ac:dyDescent="0.2"/>
    <row r="31" spans="1:23" ht="15" customHeight="1" x14ac:dyDescent="0.2"/>
    <row r="32" spans="1:23"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sheetProtection algorithmName="SHA-512" hashValue="cRRnGyhLvBoWGykmEOlLkbliVak3e2mgxvRSaIm8J7OjppnLoiC1YLI+Da0aUIxABjl/gt8KLwAJQ2HOmp+Rdg==" saltValue="T8NBDUDEUm6xUyvc+TEpEg==" spinCount="100000" sheet="1" objects="1" scenarios="1"/>
  <mergeCells count="5">
    <mergeCell ref="A1:F1"/>
    <mergeCell ref="C3:F3"/>
    <mergeCell ref="B3:B4"/>
    <mergeCell ref="A3:A4"/>
    <mergeCell ref="A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6"/>
  <sheetViews>
    <sheetView showGridLines="0" showRuler="0" workbookViewId="0">
      <selection activeCell="E8" sqref="E8"/>
    </sheetView>
  </sheetViews>
  <sheetFormatPr defaultColWidth="13.140625" defaultRowHeight="12.75" x14ac:dyDescent="0.2"/>
  <cols>
    <col min="1" max="1" width="28" customWidth="1"/>
    <col min="2" max="2" width="26.85546875" customWidth="1"/>
    <col min="3" max="8" width="18.28515625" customWidth="1"/>
    <col min="9" max="9" width="14.42578125" customWidth="1"/>
  </cols>
  <sheetData>
    <row r="1" spans="1:10" ht="15.75" x14ac:dyDescent="0.25">
      <c r="A1" s="560" t="s">
        <v>835</v>
      </c>
      <c r="B1" s="560"/>
      <c r="C1" s="560"/>
      <c r="D1" s="560"/>
      <c r="E1" s="560"/>
      <c r="F1" s="23"/>
      <c r="G1" s="23"/>
      <c r="H1" s="23"/>
      <c r="I1" s="23"/>
    </row>
    <row r="2" spans="1:10" x14ac:dyDescent="0.2">
      <c r="A2" s="180"/>
      <c r="B2" s="23"/>
      <c r="C2" s="23"/>
      <c r="D2" s="23"/>
      <c r="E2" s="23"/>
      <c r="F2" s="23"/>
      <c r="G2" s="23"/>
      <c r="H2" s="23"/>
      <c r="I2" s="23"/>
    </row>
    <row r="3" spans="1:10" x14ac:dyDescent="0.2">
      <c r="A3" s="24"/>
      <c r="B3" s="24"/>
      <c r="C3" s="24"/>
      <c r="I3" s="24"/>
    </row>
    <row r="4" spans="1:10" ht="40.700000000000003" customHeight="1" x14ac:dyDescent="0.2">
      <c r="A4" s="712" t="s">
        <v>1201</v>
      </c>
      <c r="B4" s="710" t="s">
        <v>188</v>
      </c>
      <c r="C4" s="578" t="s">
        <v>836</v>
      </c>
      <c r="D4" s="580"/>
      <c r="E4" s="578" t="s">
        <v>837</v>
      </c>
      <c r="F4" s="579"/>
      <c r="G4" s="579"/>
      <c r="H4" s="579"/>
      <c r="I4" s="580"/>
      <c r="J4" s="26"/>
    </row>
    <row r="5" spans="1:10" ht="65.849999999999994" customHeight="1" x14ac:dyDescent="0.2">
      <c r="A5" s="713"/>
      <c r="B5" s="711"/>
      <c r="C5" s="4" t="s">
        <v>838</v>
      </c>
      <c r="D5" s="4" t="s">
        <v>839</v>
      </c>
      <c r="E5" s="4" t="s">
        <v>840</v>
      </c>
      <c r="F5" s="4" t="s">
        <v>841</v>
      </c>
      <c r="G5" s="4" t="s">
        <v>842</v>
      </c>
      <c r="H5" s="4" t="s">
        <v>843</v>
      </c>
      <c r="I5" s="4" t="s">
        <v>844</v>
      </c>
      <c r="J5" s="26"/>
    </row>
    <row r="6" spans="1:10" ht="22.5" customHeight="1" x14ac:dyDescent="0.2">
      <c r="A6" s="625" t="s">
        <v>154</v>
      </c>
      <c r="B6" s="212" t="s">
        <v>72</v>
      </c>
      <c r="C6" s="237">
        <f t="shared" ref="C6:H6" si="0">SUM(C7:C9)</f>
        <v>28</v>
      </c>
      <c r="D6" s="237">
        <f t="shared" si="0"/>
        <v>51</v>
      </c>
      <c r="E6" s="237">
        <f t="shared" si="0"/>
        <v>12</v>
      </c>
      <c r="F6" s="237">
        <f t="shared" si="0"/>
        <v>267</v>
      </c>
      <c r="G6" s="237">
        <f t="shared" si="0"/>
        <v>652</v>
      </c>
      <c r="H6" s="237">
        <f t="shared" si="0"/>
        <v>0</v>
      </c>
      <c r="I6" s="316">
        <v>1</v>
      </c>
      <c r="J6" s="26"/>
    </row>
    <row r="7" spans="1:10" ht="22.5" customHeight="1" x14ac:dyDescent="0.2">
      <c r="A7" s="626"/>
      <c r="B7" s="219" t="s">
        <v>845</v>
      </c>
      <c r="C7" s="240">
        <v>2</v>
      </c>
      <c r="D7" s="240">
        <v>6</v>
      </c>
      <c r="E7" s="240">
        <v>2</v>
      </c>
      <c r="F7" s="240">
        <v>0</v>
      </c>
      <c r="G7" s="240">
        <v>21</v>
      </c>
      <c r="H7" s="240">
        <v>0</v>
      </c>
      <c r="I7" s="308">
        <v>1</v>
      </c>
      <c r="J7" s="26"/>
    </row>
    <row r="8" spans="1:10" ht="22.5" customHeight="1" x14ac:dyDescent="0.2">
      <c r="A8" s="626"/>
      <c r="B8" s="219" t="s">
        <v>41</v>
      </c>
      <c r="C8" s="240">
        <v>12</v>
      </c>
      <c r="D8" s="240">
        <v>24</v>
      </c>
      <c r="E8" s="240">
        <v>5</v>
      </c>
      <c r="F8" s="240">
        <v>6</v>
      </c>
      <c r="G8" s="240">
        <v>180</v>
      </c>
      <c r="H8" s="240">
        <v>0</v>
      </c>
      <c r="I8" s="308">
        <v>1</v>
      </c>
      <c r="J8" s="26"/>
    </row>
    <row r="9" spans="1:10" ht="22.5" customHeight="1" x14ac:dyDescent="0.2">
      <c r="A9" s="622"/>
      <c r="B9" s="219" t="s">
        <v>158</v>
      </c>
      <c r="C9" s="240">
        <v>14</v>
      </c>
      <c r="D9" s="240">
        <v>21</v>
      </c>
      <c r="E9" s="240">
        <v>5</v>
      </c>
      <c r="F9" s="240">
        <v>261</v>
      </c>
      <c r="G9" s="240">
        <v>451</v>
      </c>
      <c r="H9" s="240">
        <v>0</v>
      </c>
      <c r="I9" s="308">
        <v>1</v>
      </c>
      <c r="J9" s="26"/>
    </row>
    <row r="10" spans="1:10" ht="22.5" customHeight="1" x14ac:dyDescent="0.2">
      <c r="A10" s="625" t="s">
        <v>160</v>
      </c>
      <c r="B10" s="212" t="s">
        <v>846</v>
      </c>
      <c r="C10" s="237">
        <f t="shared" ref="C10:H10" si="1">SUM(C11:C13)</f>
        <v>0</v>
      </c>
      <c r="D10" s="237">
        <f t="shared" si="1"/>
        <v>0</v>
      </c>
      <c r="E10" s="237">
        <f t="shared" si="1"/>
        <v>3</v>
      </c>
      <c r="F10" s="237">
        <f t="shared" si="1"/>
        <v>0</v>
      </c>
      <c r="G10" s="237">
        <f t="shared" si="1"/>
        <v>50</v>
      </c>
      <c r="H10" s="237">
        <f t="shared" si="1"/>
        <v>0</v>
      </c>
      <c r="I10" s="316">
        <v>1</v>
      </c>
      <c r="J10" s="26"/>
    </row>
    <row r="11" spans="1:10" ht="22.5" customHeight="1" x14ac:dyDescent="0.2">
      <c r="A11" s="626"/>
      <c r="B11" s="219" t="s">
        <v>420</v>
      </c>
      <c r="C11" s="218" t="s">
        <v>93</v>
      </c>
      <c r="D11" s="218" t="s">
        <v>847</v>
      </c>
      <c r="E11" s="240">
        <v>1</v>
      </c>
      <c r="F11" s="240">
        <v>0</v>
      </c>
      <c r="G11" s="240">
        <v>10</v>
      </c>
      <c r="H11" s="240">
        <v>0</v>
      </c>
      <c r="I11" s="308">
        <v>1</v>
      </c>
      <c r="J11" s="26"/>
    </row>
    <row r="12" spans="1:10" ht="22.5" customHeight="1" x14ac:dyDescent="0.2">
      <c r="A12" s="626"/>
      <c r="B12" s="219" t="s">
        <v>164</v>
      </c>
      <c r="C12" s="218" t="s">
        <v>93</v>
      </c>
      <c r="D12" s="218" t="s">
        <v>847</v>
      </c>
      <c r="E12" s="240">
        <v>1</v>
      </c>
      <c r="F12" s="240">
        <v>0</v>
      </c>
      <c r="G12" s="240">
        <v>6</v>
      </c>
      <c r="H12" s="240">
        <v>0</v>
      </c>
      <c r="I12" s="308">
        <v>1</v>
      </c>
      <c r="J12" s="26"/>
    </row>
    <row r="13" spans="1:10" ht="22.5" customHeight="1" x14ac:dyDescent="0.2">
      <c r="A13" s="626"/>
      <c r="B13" s="219" t="s">
        <v>29</v>
      </c>
      <c r="C13" s="218" t="s">
        <v>93</v>
      </c>
      <c r="D13" s="218" t="s">
        <v>847</v>
      </c>
      <c r="E13" s="240">
        <v>1</v>
      </c>
      <c r="F13" s="240">
        <v>0</v>
      </c>
      <c r="G13" s="240">
        <v>34</v>
      </c>
      <c r="H13" s="240">
        <v>0</v>
      </c>
      <c r="I13" s="308">
        <v>1</v>
      </c>
      <c r="J13" s="26"/>
    </row>
    <row r="14" spans="1:10" ht="22.5" customHeight="1" x14ac:dyDescent="0.2">
      <c r="A14" s="626"/>
      <c r="B14" s="212" t="s">
        <v>79</v>
      </c>
      <c r="C14" s="237">
        <f t="shared" ref="C14:H14" si="2">SUM(C15)</f>
        <v>8</v>
      </c>
      <c r="D14" s="237">
        <f t="shared" si="2"/>
        <v>0</v>
      </c>
      <c r="E14" s="237">
        <f t="shared" si="2"/>
        <v>8</v>
      </c>
      <c r="F14" s="237">
        <f t="shared" si="2"/>
        <v>0</v>
      </c>
      <c r="G14" s="237">
        <f t="shared" si="2"/>
        <v>0</v>
      </c>
      <c r="H14" s="237">
        <f t="shared" si="2"/>
        <v>0</v>
      </c>
      <c r="I14" s="316">
        <v>1</v>
      </c>
      <c r="J14" s="26"/>
    </row>
    <row r="15" spans="1:10" ht="22.5" customHeight="1" x14ac:dyDescent="0.2">
      <c r="A15" s="626"/>
      <c r="B15" s="219" t="s">
        <v>19</v>
      </c>
      <c r="C15" s="240">
        <v>8</v>
      </c>
      <c r="D15" s="218" t="s">
        <v>847</v>
      </c>
      <c r="E15" s="240">
        <v>8</v>
      </c>
      <c r="F15" s="240">
        <v>0</v>
      </c>
      <c r="G15" s="240">
        <v>0</v>
      </c>
      <c r="H15" s="240">
        <v>0</v>
      </c>
      <c r="I15" s="308">
        <v>1</v>
      </c>
      <c r="J15" s="26"/>
    </row>
    <row r="16" spans="1:10" ht="22.5" customHeight="1" x14ac:dyDescent="0.2">
      <c r="A16" s="626"/>
      <c r="B16" s="212" t="s">
        <v>86</v>
      </c>
      <c r="C16" s="237">
        <f t="shared" ref="C16:H16" si="3">SUM(C17)</f>
        <v>0</v>
      </c>
      <c r="D16" s="237">
        <f t="shared" si="3"/>
        <v>1623</v>
      </c>
      <c r="E16" s="237">
        <f t="shared" si="3"/>
        <v>3123</v>
      </c>
      <c r="F16" s="237">
        <f t="shared" si="3"/>
        <v>290</v>
      </c>
      <c r="G16" s="237">
        <f t="shared" si="3"/>
        <v>240</v>
      </c>
      <c r="H16" s="237">
        <f t="shared" si="3"/>
        <v>0</v>
      </c>
      <c r="I16" s="316">
        <v>0.86</v>
      </c>
      <c r="J16" s="26"/>
    </row>
    <row r="17" spans="1:10" ht="22.5" customHeight="1" x14ac:dyDescent="0.2">
      <c r="A17" s="622"/>
      <c r="B17" s="219" t="s">
        <v>25</v>
      </c>
      <c r="C17" s="218" t="s">
        <v>93</v>
      </c>
      <c r="D17" s="240">
        <v>1623</v>
      </c>
      <c r="E17" s="240">
        <v>3123</v>
      </c>
      <c r="F17" s="240">
        <v>290</v>
      </c>
      <c r="G17" s="240">
        <v>240</v>
      </c>
      <c r="H17" s="240">
        <v>0</v>
      </c>
      <c r="I17" s="308">
        <v>0.86</v>
      </c>
      <c r="J17" s="26"/>
    </row>
    <row r="18" spans="1:10" ht="22.5" customHeight="1" x14ac:dyDescent="0.2">
      <c r="A18" s="625" t="s">
        <v>166</v>
      </c>
      <c r="B18" s="212" t="s">
        <v>103</v>
      </c>
      <c r="C18" s="237">
        <f t="shared" ref="C18:H18" si="4">SUM(C19)</f>
        <v>8</v>
      </c>
      <c r="D18" s="237">
        <f t="shared" si="4"/>
        <v>8</v>
      </c>
      <c r="E18" s="237">
        <f t="shared" si="4"/>
        <v>4</v>
      </c>
      <c r="F18" s="237">
        <f t="shared" si="4"/>
        <v>0</v>
      </c>
      <c r="G18" s="237">
        <f t="shared" si="4"/>
        <v>40</v>
      </c>
      <c r="H18" s="237">
        <f t="shared" si="4"/>
        <v>0</v>
      </c>
      <c r="I18" s="316">
        <v>1</v>
      </c>
      <c r="J18" s="26"/>
    </row>
    <row r="19" spans="1:10" ht="22.5" customHeight="1" x14ac:dyDescent="0.2">
      <c r="A19" s="626"/>
      <c r="B19" s="219" t="s">
        <v>813</v>
      </c>
      <c r="C19" s="240">
        <v>8</v>
      </c>
      <c r="D19" s="240">
        <v>8</v>
      </c>
      <c r="E19" s="240">
        <v>4</v>
      </c>
      <c r="F19" s="240">
        <v>0</v>
      </c>
      <c r="G19" s="240">
        <v>40</v>
      </c>
      <c r="H19" s="240">
        <v>0</v>
      </c>
      <c r="I19" s="308">
        <v>1</v>
      </c>
      <c r="J19" s="26"/>
    </row>
    <row r="20" spans="1:10" ht="22.5" customHeight="1" x14ac:dyDescent="0.2">
      <c r="A20" s="626"/>
      <c r="B20" s="212" t="s">
        <v>848</v>
      </c>
      <c r="C20" s="237">
        <f t="shared" ref="C20:H20" si="5">SUM(C21)</f>
        <v>1</v>
      </c>
      <c r="D20" s="237">
        <f t="shared" si="5"/>
        <v>1</v>
      </c>
      <c r="E20" s="237">
        <f t="shared" si="5"/>
        <v>0</v>
      </c>
      <c r="F20" s="237">
        <f t="shared" si="5"/>
        <v>0</v>
      </c>
      <c r="G20" s="237">
        <f t="shared" si="5"/>
        <v>6</v>
      </c>
      <c r="H20" s="237">
        <f t="shared" si="5"/>
        <v>0</v>
      </c>
      <c r="I20" s="316">
        <v>1</v>
      </c>
      <c r="J20" s="26"/>
    </row>
    <row r="21" spans="1:10" ht="22.5" customHeight="1" x14ac:dyDescent="0.2">
      <c r="A21" s="626"/>
      <c r="B21" s="219" t="s">
        <v>849</v>
      </c>
      <c r="C21" s="240">
        <v>1</v>
      </c>
      <c r="D21" s="240">
        <v>1</v>
      </c>
      <c r="E21" s="240">
        <v>0</v>
      </c>
      <c r="F21" s="240">
        <v>0</v>
      </c>
      <c r="G21" s="240">
        <v>6</v>
      </c>
      <c r="H21" s="240">
        <v>0</v>
      </c>
      <c r="I21" s="308">
        <v>1</v>
      </c>
      <c r="J21" s="26"/>
    </row>
    <row r="22" spans="1:10" ht="22.5" customHeight="1" x14ac:dyDescent="0.2">
      <c r="A22" s="626"/>
      <c r="B22" s="212" t="s">
        <v>89</v>
      </c>
      <c r="C22" s="237">
        <f t="shared" ref="C22:H22" si="6">SUM(C23)</f>
        <v>2</v>
      </c>
      <c r="D22" s="237">
        <f t="shared" si="6"/>
        <v>2</v>
      </c>
      <c r="E22" s="237">
        <f t="shared" si="6"/>
        <v>19</v>
      </c>
      <c r="F22" s="237">
        <f t="shared" si="6"/>
        <v>0</v>
      </c>
      <c r="G22" s="237">
        <f t="shared" si="6"/>
        <v>100</v>
      </c>
      <c r="H22" s="237">
        <f t="shared" si="6"/>
        <v>0</v>
      </c>
      <c r="I22" s="316">
        <v>1</v>
      </c>
      <c r="J22" s="26"/>
    </row>
    <row r="23" spans="1:10" ht="22.5" customHeight="1" x14ac:dyDescent="0.2">
      <c r="A23" s="626"/>
      <c r="B23" s="219" t="s">
        <v>11</v>
      </c>
      <c r="C23" s="240">
        <v>2</v>
      </c>
      <c r="D23" s="240">
        <v>2</v>
      </c>
      <c r="E23" s="240">
        <v>19</v>
      </c>
      <c r="F23" s="240">
        <v>0</v>
      </c>
      <c r="G23" s="240">
        <v>100</v>
      </c>
      <c r="H23" s="240">
        <v>0</v>
      </c>
      <c r="I23" s="308">
        <v>1</v>
      </c>
      <c r="J23" s="26"/>
    </row>
    <row r="24" spans="1:10" ht="22.5" customHeight="1" x14ac:dyDescent="0.2">
      <c r="A24" s="626"/>
      <c r="B24" s="212" t="s">
        <v>94</v>
      </c>
      <c r="C24" s="237">
        <f t="shared" ref="C24:H24" si="7">SUM(C25)</f>
        <v>21</v>
      </c>
      <c r="D24" s="237">
        <f t="shared" si="7"/>
        <v>43</v>
      </c>
      <c r="E24" s="237">
        <f t="shared" si="7"/>
        <v>23</v>
      </c>
      <c r="F24" s="237">
        <f t="shared" si="7"/>
        <v>26</v>
      </c>
      <c r="G24" s="237">
        <f t="shared" si="7"/>
        <v>141</v>
      </c>
      <c r="H24" s="237">
        <f t="shared" si="7"/>
        <v>0</v>
      </c>
      <c r="I24" s="316">
        <v>1</v>
      </c>
      <c r="J24" s="26"/>
    </row>
    <row r="25" spans="1:10" ht="22.5" customHeight="1" x14ac:dyDescent="0.2">
      <c r="A25" s="626"/>
      <c r="B25" s="219" t="s">
        <v>167</v>
      </c>
      <c r="C25" s="240">
        <v>21</v>
      </c>
      <c r="D25" s="240">
        <v>43</v>
      </c>
      <c r="E25" s="240">
        <v>23</v>
      </c>
      <c r="F25" s="240">
        <v>26</v>
      </c>
      <c r="G25" s="240">
        <v>141</v>
      </c>
      <c r="H25" s="240">
        <v>0</v>
      </c>
      <c r="I25" s="308">
        <v>1</v>
      </c>
      <c r="J25" s="26"/>
    </row>
    <row r="26" spans="1:10" ht="22.5" customHeight="1" x14ac:dyDescent="0.2">
      <c r="A26" s="626"/>
      <c r="B26" s="212" t="s">
        <v>97</v>
      </c>
      <c r="C26" s="237">
        <f t="shared" ref="C26:H26" si="8">SUM(C27)</f>
        <v>133</v>
      </c>
      <c r="D26" s="237">
        <f t="shared" si="8"/>
        <v>1540</v>
      </c>
      <c r="E26" s="237">
        <f t="shared" si="8"/>
        <v>8</v>
      </c>
      <c r="F26" s="237">
        <f t="shared" si="8"/>
        <v>518</v>
      </c>
      <c r="G26" s="237">
        <f t="shared" si="8"/>
        <v>538</v>
      </c>
      <c r="H26" s="237">
        <f t="shared" si="8"/>
        <v>0</v>
      </c>
      <c r="I26" s="316">
        <v>1</v>
      </c>
      <c r="J26" s="26"/>
    </row>
    <row r="27" spans="1:10" ht="22.5" customHeight="1" x14ac:dyDescent="0.2">
      <c r="A27" s="622"/>
      <c r="B27" s="219" t="s">
        <v>20</v>
      </c>
      <c r="C27" s="240">
        <v>133</v>
      </c>
      <c r="D27" s="240">
        <v>1540</v>
      </c>
      <c r="E27" s="240">
        <v>8</v>
      </c>
      <c r="F27" s="240">
        <v>518</v>
      </c>
      <c r="G27" s="240">
        <v>538</v>
      </c>
      <c r="H27" s="240">
        <v>0</v>
      </c>
      <c r="I27" s="308">
        <v>1</v>
      </c>
      <c r="J27" s="26"/>
    </row>
    <row r="28" spans="1:10" ht="22.5" customHeight="1" x14ac:dyDescent="0.2">
      <c r="A28" s="54" t="s">
        <v>170</v>
      </c>
      <c r="B28" s="212" t="s">
        <v>90</v>
      </c>
      <c r="C28" s="237">
        <f t="shared" ref="C28:H28" si="9">SUM(C6,C10,C14,C16,C18,C20,C22,C24,C26)</f>
        <v>201</v>
      </c>
      <c r="D28" s="237">
        <f t="shared" si="9"/>
        <v>3268</v>
      </c>
      <c r="E28" s="237">
        <f t="shared" si="9"/>
        <v>3200</v>
      </c>
      <c r="F28" s="237">
        <f t="shared" si="9"/>
        <v>1101</v>
      </c>
      <c r="G28" s="237">
        <f t="shared" si="9"/>
        <v>1767</v>
      </c>
      <c r="H28" s="237">
        <f t="shared" si="9"/>
        <v>0</v>
      </c>
      <c r="I28" s="316"/>
      <c r="J28" s="26"/>
    </row>
    <row r="29" spans="1:10" ht="15" customHeight="1" x14ac:dyDescent="0.2">
      <c r="A29" s="563" t="s">
        <v>850</v>
      </c>
      <c r="B29" s="563"/>
      <c r="C29" s="563"/>
      <c r="D29" s="563"/>
      <c r="E29" s="563"/>
      <c r="F29" s="563"/>
      <c r="G29" s="563"/>
      <c r="H29" s="563"/>
      <c r="I29" s="563"/>
    </row>
    <row r="30" spans="1:10" ht="15" customHeight="1" x14ac:dyDescent="0.2">
      <c r="A30" s="564"/>
      <c r="B30" s="564"/>
      <c r="C30" s="564"/>
      <c r="D30" s="564"/>
      <c r="E30" s="564"/>
      <c r="F30" s="564"/>
      <c r="G30" s="564"/>
      <c r="H30" s="564"/>
      <c r="I30" s="564"/>
    </row>
    <row r="31" spans="1:10" ht="15" customHeight="1" x14ac:dyDescent="0.2">
      <c r="A31" s="564"/>
      <c r="B31" s="564"/>
      <c r="C31" s="564"/>
      <c r="D31" s="564"/>
      <c r="E31" s="564"/>
      <c r="F31" s="564"/>
      <c r="G31" s="564"/>
      <c r="H31" s="564"/>
      <c r="I31" s="564"/>
    </row>
    <row r="32" spans="1:10" ht="15" customHeight="1" x14ac:dyDescent="0.2">
      <c r="A32" s="564"/>
      <c r="B32" s="564"/>
      <c r="C32" s="564"/>
      <c r="D32" s="564"/>
      <c r="E32" s="564"/>
      <c r="F32" s="564"/>
      <c r="G32" s="564"/>
      <c r="H32" s="564"/>
      <c r="I32" s="56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sheetProtection algorithmName="SHA-512" hashValue="jumPFxeEOaxmpaiWHF/WeTz7jyXPJR1ecX95zhL3pm8Jl+2Q3KmnguDiOWIzxy2DmG0UI/BVfBPK4j96T6L29A==" saltValue="dtkVh6jRUFcmIGLRsrkyJw==" spinCount="100000" sheet="1" objects="1" scenarios="1"/>
  <mergeCells count="9">
    <mergeCell ref="A18:A27"/>
    <mergeCell ref="A29:I32"/>
    <mergeCell ref="A1:E1"/>
    <mergeCell ref="E4:I4"/>
    <mergeCell ref="A10:A17"/>
    <mergeCell ref="C4:D4"/>
    <mergeCell ref="B4:B5"/>
    <mergeCell ref="A4:A5"/>
    <mergeCell ref="A6: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62"/>
  <sheetViews>
    <sheetView showGridLines="0" showRuler="0" workbookViewId="0">
      <selection activeCell="D14" sqref="D14"/>
    </sheetView>
  </sheetViews>
  <sheetFormatPr defaultColWidth="13.140625" defaultRowHeight="12.75" x14ac:dyDescent="0.2"/>
  <cols>
    <col min="1" max="8" width="28" customWidth="1"/>
    <col min="9" max="13" width="14.42578125" customWidth="1"/>
  </cols>
  <sheetData>
    <row r="1" spans="1:13" ht="15.75" x14ac:dyDescent="0.25">
      <c r="A1" s="560" t="s">
        <v>851</v>
      </c>
      <c r="B1" s="560"/>
      <c r="C1" s="560"/>
      <c r="D1" s="560"/>
      <c r="E1" s="560"/>
      <c r="F1" s="23"/>
      <c r="G1" s="23"/>
      <c r="H1" s="23"/>
      <c r="I1" s="23"/>
      <c r="J1" s="23"/>
      <c r="K1" s="23"/>
      <c r="L1" s="23"/>
      <c r="M1" s="23"/>
    </row>
    <row r="2" spans="1:13" x14ac:dyDescent="0.2">
      <c r="A2" s="2"/>
      <c r="B2" s="24"/>
      <c r="C2" s="24"/>
      <c r="D2" s="24"/>
      <c r="E2" s="24"/>
      <c r="F2" s="24"/>
      <c r="G2" s="24"/>
      <c r="H2" s="24"/>
      <c r="I2" s="23"/>
      <c r="J2" s="23"/>
      <c r="K2" s="23"/>
      <c r="L2" s="23"/>
      <c r="M2" s="23"/>
    </row>
    <row r="3" spans="1:13" ht="45.75" customHeight="1" x14ac:dyDescent="0.2">
      <c r="A3" s="461" t="s">
        <v>1202</v>
      </c>
      <c r="B3" s="4" t="s">
        <v>188</v>
      </c>
      <c r="C3" s="467" t="s">
        <v>852</v>
      </c>
      <c r="D3" s="108" t="s">
        <v>853</v>
      </c>
      <c r="E3" s="108" t="s">
        <v>854</v>
      </c>
      <c r="F3" s="108" t="s">
        <v>855</v>
      </c>
      <c r="G3" s="108" t="s">
        <v>856</v>
      </c>
      <c r="H3" s="4" t="s">
        <v>857</v>
      </c>
      <c r="I3" s="57"/>
      <c r="J3" s="23"/>
      <c r="K3" s="23"/>
      <c r="L3" s="23"/>
      <c r="M3" s="23"/>
    </row>
    <row r="4" spans="1:13" ht="21.6" customHeight="1" x14ac:dyDescent="0.2">
      <c r="A4" s="623" t="s">
        <v>154</v>
      </c>
      <c r="B4" s="212" t="s">
        <v>72</v>
      </c>
      <c r="C4" s="301"/>
      <c r="D4" s="301"/>
      <c r="E4" s="301"/>
      <c r="F4" s="301"/>
      <c r="G4" s="301"/>
      <c r="H4" s="301"/>
      <c r="I4" s="57"/>
      <c r="J4" s="23"/>
      <c r="K4" s="23"/>
      <c r="L4" s="23"/>
      <c r="M4" s="23"/>
    </row>
    <row r="5" spans="1:13" ht="21.6" customHeight="1" x14ac:dyDescent="0.2">
      <c r="A5" s="623"/>
      <c r="B5" s="214" t="s">
        <v>41</v>
      </c>
      <c r="C5" s="225">
        <v>2</v>
      </c>
      <c r="D5" s="240">
        <v>166</v>
      </c>
      <c r="E5" s="218" t="s">
        <v>858</v>
      </c>
      <c r="F5" s="240">
        <v>0</v>
      </c>
      <c r="G5" s="240">
        <v>166</v>
      </c>
      <c r="H5" s="240">
        <v>164</v>
      </c>
      <c r="I5" s="57"/>
      <c r="J5" s="23"/>
      <c r="K5" s="23"/>
      <c r="L5" s="23"/>
      <c r="M5" s="23"/>
    </row>
    <row r="6" spans="1:13" ht="21.6" customHeight="1" x14ac:dyDescent="0.2">
      <c r="A6" s="623"/>
      <c r="B6" s="214" t="s">
        <v>158</v>
      </c>
      <c r="C6" s="225">
        <v>0</v>
      </c>
      <c r="D6" s="240">
        <v>0</v>
      </c>
      <c r="E6" s="218" t="s">
        <v>16</v>
      </c>
      <c r="F6" s="240">
        <v>0</v>
      </c>
      <c r="G6" s="240">
        <v>166</v>
      </c>
      <c r="H6" s="240">
        <v>165</v>
      </c>
      <c r="I6" s="57"/>
      <c r="J6" s="23"/>
      <c r="K6" s="23"/>
      <c r="L6" s="23"/>
      <c r="M6" s="23"/>
    </row>
    <row r="7" spans="1:13" ht="21.6" customHeight="1" x14ac:dyDescent="0.2">
      <c r="A7" s="625" t="s">
        <v>160</v>
      </c>
      <c r="B7" s="212" t="s">
        <v>79</v>
      </c>
      <c r="C7" s="301"/>
      <c r="D7" s="301"/>
      <c r="E7" s="301"/>
      <c r="F7" s="301"/>
      <c r="G7" s="301"/>
      <c r="H7" s="301"/>
      <c r="I7" s="57"/>
      <c r="J7" s="23"/>
      <c r="K7" s="23"/>
      <c r="L7" s="23"/>
      <c r="M7" s="23"/>
    </row>
    <row r="8" spans="1:13" ht="21.6" customHeight="1" x14ac:dyDescent="0.2">
      <c r="A8" s="626"/>
      <c r="B8" s="214" t="s">
        <v>19</v>
      </c>
      <c r="C8" s="228">
        <v>0</v>
      </c>
      <c r="D8" s="228">
        <v>0</v>
      </c>
      <c r="E8" s="299" t="s">
        <v>16</v>
      </c>
      <c r="F8" s="228">
        <v>0</v>
      </c>
      <c r="G8" s="228">
        <v>0</v>
      </c>
      <c r="H8" s="228">
        <v>0</v>
      </c>
      <c r="I8" s="57"/>
      <c r="J8" s="23"/>
      <c r="K8" s="23"/>
      <c r="L8" s="23"/>
      <c r="M8" s="23"/>
    </row>
    <row r="9" spans="1:13" ht="21.6" customHeight="1" x14ac:dyDescent="0.2">
      <c r="A9" s="626"/>
      <c r="B9" s="212" t="s">
        <v>82</v>
      </c>
      <c r="C9" s="301"/>
      <c r="D9" s="301"/>
      <c r="E9" s="301"/>
      <c r="F9" s="301"/>
      <c r="G9" s="301"/>
      <c r="H9" s="301"/>
      <c r="I9" s="57"/>
      <c r="J9" s="23"/>
      <c r="K9" s="23"/>
      <c r="L9" s="23"/>
      <c r="M9" s="23"/>
    </row>
    <row r="10" spans="1:13" ht="21.6" customHeight="1" x14ac:dyDescent="0.2">
      <c r="A10" s="626"/>
      <c r="B10" s="214" t="s">
        <v>163</v>
      </c>
      <c r="C10" s="228">
        <v>0</v>
      </c>
      <c r="D10" s="228">
        <v>0</v>
      </c>
      <c r="E10" s="299" t="s">
        <v>16</v>
      </c>
      <c r="F10" s="228">
        <v>0</v>
      </c>
      <c r="G10" s="228">
        <v>0</v>
      </c>
      <c r="H10" s="228">
        <v>0</v>
      </c>
      <c r="I10" s="57"/>
      <c r="J10" s="23"/>
      <c r="K10" s="23"/>
      <c r="L10" s="23"/>
      <c r="M10" s="23"/>
    </row>
    <row r="11" spans="1:13" ht="21.6" customHeight="1" x14ac:dyDescent="0.2">
      <c r="A11" s="626"/>
      <c r="B11" s="214" t="s">
        <v>164</v>
      </c>
      <c r="C11" s="228">
        <v>0</v>
      </c>
      <c r="D11" s="228">
        <v>0</v>
      </c>
      <c r="E11" s="299" t="s">
        <v>858</v>
      </c>
      <c r="F11" s="228">
        <v>0</v>
      </c>
      <c r="G11" s="228">
        <v>0</v>
      </c>
      <c r="H11" s="228">
        <v>0</v>
      </c>
      <c r="I11" s="57"/>
      <c r="J11" s="23"/>
      <c r="K11" s="23"/>
      <c r="L11" s="23"/>
      <c r="M11" s="23"/>
    </row>
    <row r="12" spans="1:13" ht="21.6" customHeight="1" x14ac:dyDescent="0.2">
      <c r="A12" s="626"/>
      <c r="B12" s="214" t="s">
        <v>29</v>
      </c>
      <c r="C12" s="228">
        <v>1</v>
      </c>
      <c r="D12" s="228">
        <v>30</v>
      </c>
      <c r="E12" s="299" t="s">
        <v>858</v>
      </c>
      <c r="F12" s="228">
        <v>30</v>
      </c>
      <c r="G12" s="228">
        <v>0</v>
      </c>
      <c r="H12" s="228">
        <v>30</v>
      </c>
      <c r="I12" s="57"/>
      <c r="J12" s="23"/>
      <c r="K12" s="23"/>
      <c r="L12" s="23"/>
      <c r="M12" s="23"/>
    </row>
    <row r="13" spans="1:13" ht="21.6" customHeight="1" x14ac:dyDescent="0.2">
      <c r="A13" s="626"/>
      <c r="B13" s="212" t="s">
        <v>86</v>
      </c>
      <c r="C13" s="301"/>
      <c r="D13" s="301"/>
      <c r="E13" s="301"/>
      <c r="F13" s="301"/>
      <c r="G13" s="301"/>
      <c r="H13" s="301"/>
      <c r="I13" s="57"/>
      <c r="J13" s="23"/>
      <c r="K13" s="23"/>
      <c r="L13" s="23"/>
      <c r="M13" s="23"/>
    </row>
    <row r="14" spans="1:13" ht="21.6" customHeight="1" x14ac:dyDescent="0.2">
      <c r="A14" s="622"/>
      <c r="B14" s="219" t="s">
        <v>25</v>
      </c>
      <c r="C14" s="228">
        <v>1</v>
      </c>
      <c r="D14" s="299" t="s">
        <v>859</v>
      </c>
      <c r="E14" s="299" t="s">
        <v>858</v>
      </c>
      <c r="F14" s="158">
        <v>4518</v>
      </c>
      <c r="G14" s="228">
        <v>0</v>
      </c>
      <c r="H14" s="158">
        <v>4518</v>
      </c>
      <c r="I14" s="57"/>
      <c r="J14" s="23"/>
      <c r="K14" s="23"/>
      <c r="L14" s="23"/>
      <c r="M14" s="23"/>
    </row>
    <row r="15" spans="1:13" ht="21.6" customHeight="1" x14ac:dyDescent="0.2">
      <c r="A15" s="623" t="s">
        <v>166</v>
      </c>
      <c r="B15" s="212" t="s">
        <v>89</v>
      </c>
      <c r="C15" s="314"/>
      <c r="D15" s="314"/>
      <c r="E15" s="314"/>
      <c r="F15" s="314"/>
      <c r="G15" s="314"/>
      <c r="H15" s="314"/>
      <c r="I15" s="57"/>
      <c r="J15" s="23"/>
      <c r="K15" s="23"/>
      <c r="L15" s="23"/>
      <c r="M15" s="23"/>
    </row>
    <row r="16" spans="1:13" ht="21.6" customHeight="1" x14ac:dyDescent="0.2">
      <c r="A16" s="623"/>
      <c r="B16" s="219" t="s">
        <v>11</v>
      </c>
      <c r="C16" s="225">
        <v>1</v>
      </c>
      <c r="D16" s="228">
        <v>100</v>
      </c>
      <c r="E16" s="218" t="s">
        <v>858</v>
      </c>
      <c r="F16" s="228">
        <v>100</v>
      </c>
      <c r="G16" s="228">
        <v>0</v>
      </c>
      <c r="H16" s="228">
        <v>100</v>
      </c>
      <c r="I16" s="57"/>
      <c r="J16" s="23"/>
      <c r="K16" s="23"/>
      <c r="L16" s="23"/>
      <c r="M16" s="23"/>
    </row>
    <row r="17" spans="1:13" ht="21.6" customHeight="1" x14ac:dyDescent="0.2">
      <c r="A17" s="623"/>
      <c r="B17" s="212" t="s">
        <v>94</v>
      </c>
      <c r="C17" s="314"/>
      <c r="D17" s="314"/>
      <c r="E17" s="314"/>
      <c r="F17" s="314"/>
      <c r="G17" s="314"/>
      <c r="H17" s="314"/>
      <c r="I17" s="57"/>
      <c r="J17" s="23"/>
      <c r="K17" s="23"/>
      <c r="L17" s="23"/>
      <c r="M17" s="23"/>
    </row>
    <row r="18" spans="1:13" ht="21.6" customHeight="1" x14ac:dyDescent="0.2">
      <c r="A18" s="623"/>
      <c r="B18" s="219" t="s">
        <v>167</v>
      </c>
      <c r="C18" s="225">
        <v>2</v>
      </c>
      <c r="D18" s="228">
        <v>950</v>
      </c>
      <c r="E18" s="218" t="s">
        <v>860</v>
      </c>
      <c r="F18" s="228">
        <v>46</v>
      </c>
      <c r="G18" s="228">
        <v>334</v>
      </c>
      <c r="H18" s="228">
        <v>380</v>
      </c>
      <c r="I18" s="57"/>
      <c r="J18" s="23"/>
      <c r="K18" s="23"/>
      <c r="L18" s="23"/>
      <c r="M18" s="23"/>
    </row>
    <row r="19" spans="1:13" ht="21.6" customHeight="1" x14ac:dyDescent="0.2">
      <c r="A19" s="623"/>
      <c r="B19" s="212" t="s">
        <v>97</v>
      </c>
      <c r="C19" s="314"/>
      <c r="D19" s="314"/>
      <c r="E19" s="314"/>
      <c r="F19" s="314"/>
      <c r="G19" s="314"/>
      <c r="H19" s="314"/>
      <c r="I19" s="57"/>
      <c r="J19" s="23"/>
      <c r="K19" s="23"/>
      <c r="L19" s="23"/>
      <c r="M19" s="23"/>
    </row>
    <row r="20" spans="1:13" ht="21.6" customHeight="1" x14ac:dyDescent="0.2">
      <c r="A20" s="623"/>
      <c r="B20" s="219" t="s">
        <v>20</v>
      </c>
      <c r="C20" s="225">
        <v>11</v>
      </c>
      <c r="D20" s="228">
        <v>249</v>
      </c>
      <c r="E20" s="299" t="s">
        <v>858</v>
      </c>
      <c r="F20" s="228">
        <v>108</v>
      </c>
      <c r="G20" s="228">
        <v>148</v>
      </c>
      <c r="H20" s="228">
        <v>256</v>
      </c>
      <c r="I20" s="57"/>
      <c r="J20" s="23"/>
      <c r="K20" s="23"/>
      <c r="L20" s="23"/>
      <c r="M20" s="23"/>
    </row>
    <row r="21" spans="1:13" ht="21.6" customHeight="1" x14ac:dyDescent="0.2">
      <c r="A21" s="623" t="s">
        <v>168</v>
      </c>
      <c r="B21" s="212" t="s">
        <v>76</v>
      </c>
      <c r="C21" s="301"/>
      <c r="D21" s="301"/>
      <c r="E21" s="301"/>
      <c r="F21" s="301"/>
      <c r="G21" s="301"/>
      <c r="H21" s="301"/>
      <c r="I21" s="57"/>
      <c r="J21" s="23"/>
      <c r="K21" s="23"/>
      <c r="L21" s="23"/>
      <c r="M21" s="23"/>
    </row>
    <row r="22" spans="1:13" ht="21.6" customHeight="1" x14ac:dyDescent="0.2">
      <c r="A22" s="623"/>
      <c r="B22" s="214" t="s">
        <v>169</v>
      </c>
      <c r="C22" s="225">
        <v>2</v>
      </c>
      <c r="D22" s="240">
        <v>248</v>
      </c>
      <c r="E22" s="218" t="s">
        <v>860</v>
      </c>
      <c r="F22" s="225">
        <v>35</v>
      </c>
      <c r="G22" s="225">
        <v>30</v>
      </c>
      <c r="H22" s="225">
        <v>65</v>
      </c>
      <c r="I22" s="57"/>
      <c r="J22" s="23"/>
      <c r="K22" s="23"/>
      <c r="L22" s="23"/>
      <c r="M22" s="23"/>
    </row>
    <row r="23" spans="1:13" ht="21.6" customHeight="1" x14ac:dyDescent="0.2">
      <c r="A23" s="623"/>
      <c r="B23" s="214" t="s">
        <v>14</v>
      </c>
      <c r="C23" s="225">
        <v>2</v>
      </c>
      <c r="D23" s="240">
        <v>1700</v>
      </c>
      <c r="E23" s="218" t="s">
        <v>860</v>
      </c>
      <c r="F23" s="225">
        <v>126</v>
      </c>
      <c r="G23" s="225">
        <v>48</v>
      </c>
      <c r="H23" s="225">
        <v>174</v>
      </c>
      <c r="I23" s="57"/>
      <c r="J23" s="23"/>
      <c r="K23" s="23"/>
      <c r="L23" s="23"/>
      <c r="M23" s="23"/>
    </row>
    <row r="24" spans="1:13" ht="21.6" customHeight="1" x14ac:dyDescent="0.2">
      <c r="A24" s="318" t="s">
        <v>170</v>
      </c>
      <c r="B24" s="495" t="s">
        <v>90</v>
      </c>
      <c r="C24" s="319">
        <v>22</v>
      </c>
      <c r="D24" s="320">
        <v>3442.5</v>
      </c>
      <c r="E24" s="321"/>
      <c r="F24" s="322">
        <v>4963</v>
      </c>
      <c r="G24" s="322">
        <v>892</v>
      </c>
      <c r="H24" s="322">
        <v>5852</v>
      </c>
      <c r="I24" s="57"/>
      <c r="J24" s="23"/>
      <c r="K24" s="23"/>
      <c r="L24" s="23"/>
      <c r="M24" s="23"/>
    </row>
    <row r="25" spans="1:13" ht="40.5" customHeight="1" x14ac:dyDescent="0.2">
      <c r="A25" s="574" t="s">
        <v>1203</v>
      </c>
      <c r="B25" s="563"/>
      <c r="C25" s="563"/>
      <c r="D25" s="563"/>
      <c r="E25" s="563"/>
      <c r="F25" s="563"/>
      <c r="G25" s="563"/>
      <c r="H25" s="563"/>
      <c r="I25" s="23"/>
      <c r="J25" s="23"/>
      <c r="K25" s="23"/>
      <c r="L25" s="23"/>
      <c r="M25" s="23"/>
    </row>
    <row r="26" spans="1:13" ht="14.1" customHeight="1" x14ac:dyDescent="0.2">
      <c r="A26" s="23"/>
      <c r="B26" s="23"/>
      <c r="C26" s="23"/>
      <c r="I26" s="23"/>
      <c r="J26" s="23"/>
      <c r="K26" s="23"/>
      <c r="L26" s="23"/>
      <c r="M26" s="23"/>
    </row>
    <row r="27" spans="1:13" ht="14.1" customHeight="1" x14ac:dyDescent="0.2">
      <c r="A27" s="23"/>
      <c r="B27" s="23"/>
      <c r="C27" s="23"/>
      <c r="D27" s="23"/>
      <c r="E27" s="23"/>
      <c r="F27" s="23"/>
      <c r="G27" s="23"/>
      <c r="H27" s="23"/>
      <c r="I27" s="23"/>
      <c r="J27" s="23"/>
      <c r="K27" s="23"/>
      <c r="L27" s="23"/>
      <c r="M27" s="23"/>
    </row>
    <row r="28" spans="1:13" ht="14.1" customHeight="1" x14ac:dyDescent="0.2">
      <c r="A28" s="23"/>
      <c r="B28" s="23"/>
      <c r="C28" s="23"/>
      <c r="D28" s="23"/>
      <c r="E28" s="23"/>
      <c r="F28" s="23"/>
      <c r="G28" s="23"/>
      <c r="H28" s="23"/>
      <c r="I28" s="23"/>
      <c r="J28" s="23"/>
      <c r="K28" s="23"/>
      <c r="L28" s="23"/>
      <c r="M28" s="23"/>
    </row>
    <row r="29" spans="1:13" ht="14.1" customHeight="1" x14ac:dyDescent="0.2">
      <c r="A29" s="23"/>
      <c r="B29" s="23"/>
      <c r="C29" s="23"/>
      <c r="D29" s="23"/>
      <c r="E29" s="23"/>
      <c r="F29" s="23"/>
      <c r="G29" s="23"/>
      <c r="H29" s="23"/>
      <c r="I29" s="23"/>
      <c r="J29" s="23"/>
      <c r="K29" s="23"/>
      <c r="L29" s="23"/>
      <c r="M29" s="23"/>
    </row>
    <row r="30" spans="1:13" ht="14.1" customHeight="1" x14ac:dyDescent="0.2">
      <c r="A30" s="23"/>
      <c r="B30" s="23"/>
      <c r="C30" s="23"/>
      <c r="D30" s="23"/>
      <c r="E30" s="23"/>
      <c r="F30" s="23"/>
      <c r="G30" s="23"/>
      <c r="H30" s="23"/>
      <c r="I30" s="23"/>
      <c r="J30" s="23"/>
      <c r="K30" s="23"/>
      <c r="L30" s="23"/>
      <c r="M30" s="23"/>
    </row>
    <row r="31" spans="1:13" ht="14.1" customHeight="1" x14ac:dyDescent="0.2">
      <c r="A31" s="23"/>
      <c r="B31" s="23"/>
      <c r="C31" s="23"/>
      <c r="D31" s="23"/>
      <c r="E31" s="23"/>
      <c r="F31" s="23"/>
      <c r="G31" s="23"/>
      <c r="H31" s="23"/>
      <c r="I31" s="23"/>
      <c r="J31" s="23"/>
      <c r="K31" s="23"/>
      <c r="L31" s="23"/>
      <c r="M31" s="23"/>
    </row>
    <row r="32" spans="1:13" ht="14.1" customHeight="1" x14ac:dyDescent="0.2">
      <c r="A32" s="23"/>
      <c r="B32" s="23"/>
      <c r="C32" s="23"/>
      <c r="D32" s="23"/>
      <c r="E32" s="23"/>
      <c r="F32" s="23"/>
      <c r="G32" s="23"/>
      <c r="H32" s="23"/>
      <c r="I32" s="23"/>
      <c r="J32" s="23"/>
      <c r="K32" s="23"/>
      <c r="L32" s="23"/>
      <c r="M32" s="23"/>
    </row>
    <row r="33" spans="1:13" ht="14.1" customHeight="1" x14ac:dyDescent="0.2">
      <c r="A33" s="23"/>
      <c r="B33" s="23"/>
      <c r="C33" s="23"/>
      <c r="D33" s="23"/>
      <c r="E33" s="23"/>
      <c r="F33" s="23"/>
      <c r="G33" s="23"/>
      <c r="H33" s="23"/>
      <c r="I33" s="23"/>
      <c r="J33" s="23"/>
      <c r="K33" s="23"/>
      <c r="L33" s="23"/>
      <c r="M33" s="23"/>
    </row>
    <row r="34" spans="1:13" ht="14.1" customHeight="1" x14ac:dyDescent="0.2">
      <c r="A34" s="23"/>
      <c r="B34" s="23"/>
      <c r="C34" s="23"/>
      <c r="D34" s="23"/>
      <c r="E34" s="23"/>
      <c r="F34" s="23"/>
      <c r="G34" s="23"/>
      <c r="H34" s="23"/>
      <c r="I34" s="23"/>
      <c r="J34" s="23"/>
      <c r="K34" s="23"/>
      <c r="L34" s="23"/>
      <c r="M34" s="23"/>
    </row>
    <row r="35" spans="1:13" ht="14.1" customHeight="1" x14ac:dyDescent="0.2">
      <c r="A35" s="23"/>
      <c r="B35" s="23"/>
      <c r="C35" s="23"/>
      <c r="D35" s="23"/>
      <c r="E35" s="23"/>
      <c r="F35" s="23"/>
      <c r="G35" s="23"/>
      <c r="H35" s="23"/>
      <c r="I35" s="23"/>
      <c r="J35" s="23"/>
      <c r="K35" s="23"/>
      <c r="L35" s="23"/>
      <c r="M35" s="23"/>
    </row>
    <row r="36" spans="1:13" ht="14.1" customHeight="1" x14ac:dyDescent="0.2">
      <c r="A36" s="23"/>
      <c r="B36" s="23"/>
      <c r="C36" s="23"/>
      <c r="D36" s="23"/>
      <c r="E36" s="23"/>
      <c r="F36" s="23"/>
      <c r="G36" s="23"/>
      <c r="H36" s="23"/>
      <c r="I36" s="23"/>
      <c r="J36" s="23"/>
      <c r="K36" s="23"/>
      <c r="L36" s="23"/>
      <c r="M36" s="23"/>
    </row>
    <row r="37" spans="1:13" ht="14.1" customHeight="1" x14ac:dyDescent="0.2">
      <c r="A37" s="23"/>
      <c r="B37" s="23"/>
      <c r="C37" s="23"/>
      <c r="D37" s="23"/>
      <c r="E37" s="23"/>
      <c r="F37" s="23"/>
      <c r="G37" s="23"/>
      <c r="H37" s="23"/>
      <c r="I37" s="23"/>
      <c r="J37" s="23"/>
      <c r="K37" s="23"/>
      <c r="L37" s="23"/>
      <c r="M37" s="23"/>
    </row>
    <row r="38" spans="1:13" ht="14.1" customHeight="1" x14ac:dyDescent="0.2">
      <c r="A38" s="23"/>
      <c r="B38" s="23"/>
      <c r="C38" s="23"/>
      <c r="D38" s="23"/>
      <c r="E38" s="23"/>
      <c r="F38" s="23"/>
      <c r="G38" s="23"/>
      <c r="H38" s="23"/>
      <c r="I38" s="23"/>
      <c r="J38" s="23"/>
      <c r="K38" s="23"/>
      <c r="L38" s="23"/>
      <c r="M38" s="23"/>
    </row>
    <row r="39" spans="1:13" ht="14.1" customHeight="1" x14ac:dyDescent="0.2">
      <c r="A39" s="23"/>
      <c r="B39" s="23"/>
      <c r="C39" s="23"/>
      <c r="D39" s="23"/>
      <c r="E39" s="23"/>
      <c r="F39" s="23"/>
      <c r="G39" s="23"/>
      <c r="H39" s="23"/>
      <c r="I39" s="23"/>
      <c r="J39" s="23"/>
      <c r="K39" s="23"/>
      <c r="L39" s="23"/>
      <c r="M39" s="23"/>
    </row>
    <row r="40" spans="1:13" ht="14.1" customHeight="1" x14ac:dyDescent="0.2">
      <c r="A40" s="23"/>
      <c r="B40" s="23"/>
      <c r="C40" s="23"/>
      <c r="D40" s="23"/>
      <c r="E40" s="23"/>
      <c r="F40" s="23"/>
      <c r="G40" s="23"/>
      <c r="H40" s="23"/>
      <c r="I40" s="23"/>
      <c r="J40" s="23"/>
      <c r="K40" s="23"/>
      <c r="L40" s="23"/>
      <c r="M40" s="23"/>
    </row>
    <row r="41" spans="1:13" ht="14.1" customHeight="1" x14ac:dyDescent="0.2">
      <c r="A41" s="23"/>
      <c r="B41" s="23"/>
      <c r="C41" s="23"/>
      <c r="D41" s="33"/>
      <c r="E41" s="23"/>
      <c r="F41" s="23"/>
      <c r="G41" s="23"/>
      <c r="H41" s="23"/>
      <c r="I41" s="23"/>
      <c r="J41" s="23"/>
      <c r="K41" s="23"/>
      <c r="L41" s="23"/>
      <c r="M41" s="23"/>
    </row>
    <row r="42" spans="1:13" ht="15" customHeight="1" x14ac:dyDescent="0.2"/>
    <row r="43" spans="1:13" ht="15" customHeight="1" x14ac:dyDescent="0.2"/>
    <row r="44" spans="1:13" ht="15" customHeight="1" x14ac:dyDescent="0.2"/>
    <row r="45" spans="1:13" ht="15" customHeight="1" x14ac:dyDescent="0.2"/>
    <row r="46" spans="1:13" ht="15" customHeight="1" x14ac:dyDescent="0.2"/>
    <row r="47" spans="1:13" ht="15" customHeight="1" x14ac:dyDescent="0.2"/>
    <row r="48" spans="1: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sheetData>
  <sheetProtection algorithmName="SHA-512" hashValue="/2t2DO1INb/HWTL2SPLLe9U8UiNcRLQ+hUyK6tp2XZQP3Q9BCr0aCHIfY9zeo2DowLT3Nyn67coHgpX0yJa+LA==" saltValue="jvXFBSAzaKl7dQXlLNYQVQ==" spinCount="100000" sheet="1" objects="1" scenarios="1"/>
  <mergeCells count="6">
    <mergeCell ref="A1:E1"/>
    <mergeCell ref="A4:A6"/>
    <mergeCell ref="A7:A14"/>
    <mergeCell ref="A25:H25"/>
    <mergeCell ref="A15:A20"/>
    <mergeCell ref="A21:A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65"/>
  <sheetViews>
    <sheetView showGridLines="0" showRuler="0" workbookViewId="0">
      <selection activeCell="C17" sqref="C17"/>
    </sheetView>
  </sheetViews>
  <sheetFormatPr defaultColWidth="13.140625" defaultRowHeight="12.75" x14ac:dyDescent="0.2"/>
  <cols>
    <col min="1" max="1" width="43" customWidth="1"/>
    <col min="2" max="2" width="59.28515625" customWidth="1"/>
    <col min="3" max="3" width="20.5703125" customWidth="1"/>
    <col min="4" max="4" width="27.42578125" customWidth="1"/>
  </cols>
  <sheetData>
    <row r="1" spans="1:4" ht="15.75" x14ac:dyDescent="0.25">
      <c r="A1" s="560" t="s">
        <v>861</v>
      </c>
      <c r="B1" s="560"/>
      <c r="C1" s="560"/>
      <c r="D1" s="560"/>
    </row>
    <row r="2" spans="1:4" x14ac:dyDescent="0.2">
      <c r="A2" s="2"/>
      <c r="B2" s="24"/>
      <c r="C2" s="24"/>
      <c r="D2" s="23"/>
    </row>
    <row r="3" spans="1:4" ht="34.15" customHeight="1" x14ac:dyDescent="0.2">
      <c r="A3" s="496" t="s">
        <v>1206</v>
      </c>
      <c r="B3" s="467" t="s">
        <v>1204</v>
      </c>
      <c r="C3" s="467" t="s">
        <v>862</v>
      </c>
      <c r="D3" s="57"/>
    </row>
    <row r="4" spans="1:4" ht="24.2" customHeight="1" x14ac:dyDescent="0.2">
      <c r="A4" s="46" t="s">
        <v>863</v>
      </c>
      <c r="B4" s="46" t="s">
        <v>864</v>
      </c>
      <c r="C4" s="218" t="s">
        <v>197</v>
      </c>
      <c r="D4" s="57"/>
    </row>
    <row r="5" spans="1:4" ht="24.2" customHeight="1" x14ac:dyDescent="0.2">
      <c r="A5" s="46" t="s">
        <v>865</v>
      </c>
      <c r="B5" s="46" t="s">
        <v>866</v>
      </c>
      <c r="C5" s="218" t="s">
        <v>197</v>
      </c>
      <c r="D5" s="57"/>
    </row>
    <row r="6" spans="1:4" ht="24.2" customHeight="1" x14ac:dyDescent="0.25">
      <c r="A6" s="714" t="s">
        <v>867</v>
      </c>
      <c r="B6" s="46" t="s">
        <v>868</v>
      </c>
      <c r="C6" s="323" t="s">
        <v>197</v>
      </c>
      <c r="D6" s="57"/>
    </row>
    <row r="7" spans="1:4" ht="24.2" customHeight="1" x14ac:dyDescent="0.25">
      <c r="A7" s="715"/>
      <c r="B7" s="46" t="s">
        <v>869</v>
      </c>
      <c r="C7" s="323" t="s">
        <v>197</v>
      </c>
      <c r="D7" s="57"/>
    </row>
    <row r="8" spans="1:4" ht="24.2" customHeight="1" x14ac:dyDescent="0.2">
      <c r="A8" s="716" t="s">
        <v>870</v>
      </c>
      <c r="B8" s="46" t="s">
        <v>871</v>
      </c>
      <c r="C8" s="218" t="s">
        <v>197</v>
      </c>
      <c r="D8" s="57"/>
    </row>
    <row r="9" spans="1:4" ht="24.2" customHeight="1" x14ac:dyDescent="0.2">
      <c r="A9" s="716"/>
      <c r="B9" s="46" t="s">
        <v>872</v>
      </c>
      <c r="C9" s="218" t="s">
        <v>197</v>
      </c>
      <c r="D9" s="57"/>
    </row>
    <row r="10" spans="1:4" ht="24.2" customHeight="1" x14ac:dyDescent="0.2">
      <c r="A10" s="716"/>
      <c r="B10" s="46" t="s">
        <v>873</v>
      </c>
      <c r="C10" s="218" t="s">
        <v>197</v>
      </c>
      <c r="D10" s="57"/>
    </row>
    <row r="11" spans="1:4" ht="24.2" customHeight="1" x14ac:dyDescent="0.2">
      <c r="A11" s="716"/>
      <c r="B11" s="46" t="s">
        <v>874</v>
      </c>
      <c r="C11" s="218" t="s">
        <v>197</v>
      </c>
      <c r="D11" s="57"/>
    </row>
    <row r="12" spans="1:4" ht="24.2" customHeight="1" x14ac:dyDescent="0.2">
      <c r="A12" s="716"/>
      <c r="B12" s="46" t="s">
        <v>875</v>
      </c>
      <c r="C12" s="218" t="s">
        <v>197</v>
      </c>
      <c r="D12" s="57"/>
    </row>
    <row r="13" spans="1:4" ht="24.2" customHeight="1" x14ac:dyDescent="0.2">
      <c r="A13" s="716"/>
      <c r="B13" s="46" t="s">
        <v>876</v>
      </c>
      <c r="C13" s="218" t="s">
        <v>197</v>
      </c>
      <c r="D13" s="57"/>
    </row>
    <row r="14" spans="1:4" ht="24.2" customHeight="1" x14ac:dyDescent="0.2">
      <c r="A14" s="716"/>
      <c r="B14" s="46" t="s">
        <v>877</v>
      </c>
      <c r="C14" s="218" t="s">
        <v>197</v>
      </c>
      <c r="D14" s="57"/>
    </row>
    <row r="15" spans="1:4" ht="24.2" customHeight="1" x14ac:dyDescent="0.2">
      <c r="A15" s="716" t="s">
        <v>878</v>
      </c>
      <c r="B15" s="46" t="s">
        <v>879</v>
      </c>
      <c r="C15" s="218" t="s">
        <v>197</v>
      </c>
      <c r="D15" s="57"/>
    </row>
    <row r="16" spans="1:4" ht="24.2" customHeight="1" x14ac:dyDescent="0.2">
      <c r="A16" s="716"/>
      <c r="B16" s="46" t="s">
        <v>880</v>
      </c>
      <c r="C16" s="218" t="s">
        <v>197</v>
      </c>
      <c r="D16" s="57"/>
    </row>
    <row r="17" spans="1:4" ht="24.2" customHeight="1" x14ac:dyDescent="0.2">
      <c r="A17" s="716"/>
      <c r="B17" s="46" t="s">
        <v>881</v>
      </c>
      <c r="C17" s="218" t="s">
        <v>197</v>
      </c>
      <c r="D17" s="57"/>
    </row>
    <row r="18" spans="1:4" ht="24.2" customHeight="1" x14ac:dyDescent="0.2">
      <c r="A18" s="716"/>
      <c r="B18" s="46" t="s">
        <v>882</v>
      </c>
      <c r="C18" s="218" t="s">
        <v>197</v>
      </c>
      <c r="D18" s="57"/>
    </row>
    <row r="19" spans="1:4" ht="24.2" customHeight="1" x14ac:dyDescent="0.2">
      <c r="A19" s="714" t="s">
        <v>883</v>
      </c>
      <c r="B19" s="46" t="s">
        <v>884</v>
      </c>
      <c r="C19" s="218" t="s">
        <v>197</v>
      </c>
      <c r="D19" s="57"/>
    </row>
    <row r="20" spans="1:4" ht="24.2" customHeight="1" x14ac:dyDescent="0.2">
      <c r="A20" s="717"/>
      <c r="B20" s="46" t="s">
        <v>885</v>
      </c>
      <c r="C20" s="299" t="s">
        <v>197</v>
      </c>
      <c r="D20" s="57"/>
    </row>
    <row r="21" spans="1:4" ht="24.2" customHeight="1" x14ac:dyDescent="0.2">
      <c r="A21" s="717"/>
      <c r="B21" s="46" t="s">
        <v>886</v>
      </c>
      <c r="C21" s="218" t="s">
        <v>197</v>
      </c>
      <c r="D21" s="57"/>
    </row>
    <row r="22" spans="1:4" ht="24.2" customHeight="1" x14ac:dyDescent="0.2">
      <c r="A22" s="717"/>
      <c r="B22" s="46" t="s">
        <v>887</v>
      </c>
      <c r="C22" s="218" t="s">
        <v>197</v>
      </c>
      <c r="D22" s="57"/>
    </row>
    <row r="23" spans="1:4" ht="24.2" customHeight="1" x14ac:dyDescent="0.2">
      <c r="A23" s="715"/>
      <c r="B23" s="46" t="s">
        <v>888</v>
      </c>
      <c r="C23" s="299" t="s">
        <v>223</v>
      </c>
      <c r="D23" s="57"/>
    </row>
    <row r="24" spans="1:4" ht="24.2" customHeight="1" x14ac:dyDescent="0.2">
      <c r="A24" s="46" t="s">
        <v>889</v>
      </c>
      <c r="B24" s="46" t="s">
        <v>890</v>
      </c>
      <c r="C24" s="218" t="s">
        <v>197</v>
      </c>
      <c r="D24" s="57"/>
    </row>
    <row r="25" spans="1:4" ht="24.2" customHeight="1" x14ac:dyDescent="0.2">
      <c r="A25" s="46" t="s">
        <v>891</v>
      </c>
      <c r="B25" s="46" t="s">
        <v>892</v>
      </c>
      <c r="C25" s="218" t="s">
        <v>893</v>
      </c>
      <c r="D25" s="57"/>
    </row>
    <row r="26" spans="1:4" ht="24.2" customHeight="1" x14ac:dyDescent="0.2">
      <c r="A26" s="572" t="s">
        <v>1205</v>
      </c>
      <c r="B26" s="566"/>
      <c r="C26" s="566"/>
      <c r="D26" s="23"/>
    </row>
    <row r="27" spans="1:4" ht="24.2" customHeight="1" x14ac:dyDescent="0.2">
      <c r="A27" s="573"/>
      <c r="B27" s="573"/>
      <c r="C27" s="573"/>
      <c r="D27" s="23"/>
    </row>
    <row r="28" spans="1:4" ht="24.2" customHeight="1" x14ac:dyDescent="0.2">
      <c r="A28" s="573"/>
      <c r="B28" s="573"/>
      <c r="C28" s="573"/>
      <c r="D28" s="23"/>
    </row>
    <row r="29" spans="1:4" ht="60.75" customHeight="1" x14ac:dyDescent="0.2">
      <c r="A29" s="573"/>
      <c r="B29" s="573"/>
      <c r="C29" s="573"/>
      <c r="D29" s="23"/>
    </row>
    <row r="30" spans="1:4" ht="24.2" customHeight="1" x14ac:dyDescent="0.2">
      <c r="A30" s="7"/>
      <c r="B30" s="7"/>
      <c r="C30" s="7"/>
      <c r="D30" s="23"/>
    </row>
    <row r="31" spans="1:4" ht="24.2" customHeight="1" x14ac:dyDescent="0.2">
      <c r="A31" s="7"/>
      <c r="B31" s="7"/>
      <c r="C31" s="7"/>
      <c r="D31" s="23"/>
    </row>
    <row r="32" spans="1:4" ht="24.2" customHeight="1" x14ac:dyDescent="0.2">
      <c r="A32" s="7"/>
      <c r="B32" s="7"/>
      <c r="C32" s="7"/>
      <c r="D32" s="23"/>
    </row>
    <row r="33" spans="1:4" ht="152.44999999999999" customHeight="1" x14ac:dyDescent="0.2">
      <c r="A33" s="7"/>
      <c r="B33" s="7"/>
      <c r="C33" s="7"/>
      <c r="D33" s="23"/>
    </row>
    <row r="34" spans="1:4" ht="161.65" customHeight="1" x14ac:dyDescent="0.2">
      <c r="A34" s="7"/>
      <c r="B34" s="7"/>
      <c r="C34" s="7"/>
    </row>
    <row r="35" spans="1:4" ht="14.1" customHeight="1" x14ac:dyDescent="0.2">
      <c r="A35" s="7"/>
      <c r="B35" s="7"/>
      <c r="C35" s="7"/>
    </row>
    <row r="36" spans="1:4" ht="14.1" customHeight="1" x14ac:dyDescent="0.2">
      <c r="A36" s="7"/>
      <c r="B36" s="7"/>
      <c r="C36" s="7"/>
    </row>
    <row r="37" spans="1:4" ht="14.1" customHeight="1" x14ac:dyDescent="0.2">
      <c r="A37" s="7"/>
      <c r="B37" s="7"/>
      <c r="C37" s="7"/>
    </row>
    <row r="38" spans="1:4" ht="14.1" customHeight="1" x14ac:dyDescent="0.2">
      <c r="A38" s="7"/>
      <c r="B38" s="7"/>
      <c r="C38" s="7"/>
    </row>
    <row r="39" spans="1:4" ht="14.1" customHeight="1" x14ac:dyDescent="0.2">
      <c r="A39" s="7"/>
      <c r="B39" s="7"/>
      <c r="C39" s="7"/>
    </row>
    <row r="40" spans="1:4" ht="14.1" customHeight="1" x14ac:dyDescent="0.2">
      <c r="A40" s="7"/>
      <c r="B40" s="7"/>
      <c r="C40" s="7"/>
    </row>
    <row r="41" spans="1:4" ht="14.1" customHeight="1" x14ac:dyDescent="0.2">
      <c r="A41" s="7"/>
      <c r="B41" s="7"/>
      <c r="C41" s="7"/>
    </row>
    <row r="42" spans="1:4" ht="14.1" customHeight="1" x14ac:dyDescent="0.2"/>
    <row r="43" spans="1:4" ht="14.1" customHeight="1" x14ac:dyDescent="0.2"/>
    <row r="44" spans="1:4" ht="15" customHeight="1" x14ac:dyDescent="0.2"/>
    <row r="45" spans="1:4" ht="15" customHeight="1" x14ac:dyDescent="0.2"/>
    <row r="46" spans="1:4" ht="15" customHeight="1" x14ac:dyDescent="0.2"/>
    <row r="47" spans="1:4" ht="15" customHeight="1" x14ac:dyDescent="0.2"/>
    <row r="48" spans="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sheetProtection algorithmName="SHA-512" hashValue="14y2Qp7+XWKjPljYeetcgOwvnOSqo386PO4HSAm0IGfuflK7MVc+m2CLaR5jl16tCmjSDn4qt/qMBxDFaUKI3A==" saltValue="jxQ4defuoEsYu1cWcSUiPg==" spinCount="100000" sheet="1" objects="1" scenarios="1"/>
  <mergeCells count="6">
    <mergeCell ref="A26:C29"/>
    <mergeCell ref="A1:D1"/>
    <mergeCell ref="A6:A7"/>
    <mergeCell ref="A8:A14"/>
    <mergeCell ref="A15:A18"/>
    <mergeCell ref="A19:A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8"/>
  <sheetViews>
    <sheetView showGridLines="0" showRuler="0" workbookViewId="0">
      <selection activeCell="E12" sqref="E12"/>
    </sheetView>
  </sheetViews>
  <sheetFormatPr defaultColWidth="13.140625" defaultRowHeight="12.75" x14ac:dyDescent="0.2"/>
  <cols>
    <col min="1" max="1" width="28" customWidth="1"/>
    <col min="2" max="4" width="26.5703125" customWidth="1"/>
    <col min="5" max="5" width="83" customWidth="1"/>
    <col min="6" max="6" width="28" customWidth="1"/>
    <col min="7" max="17" width="14.42578125" customWidth="1"/>
  </cols>
  <sheetData>
    <row r="1" spans="1:17" ht="15.75" x14ac:dyDescent="0.25">
      <c r="A1" s="560" t="s">
        <v>894</v>
      </c>
      <c r="B1" s="560"/>
      <c r="C1" s="560"/>
      <c r="D1" s="560"/>
      <c r="E1" s="23"/>
      <c r="F1" s="23"/>
      <c r="G1" s="23"/>
      <c r="H1" s="23"/>
      <c r="I1" s="23"/>
      <c r="J1" s="23"/>
      <c r="K1" s="23"/>
      <c r="L1" s="23"/>
      <c r="M1" s="23"/>
      <c r="N1" s="23"/>
      <c r="O1" s="23"/>
      <c r="P1" s="23"/>
      <c r="Q1" s="23"/>
    </row>
    <row r="2" spans="1:17" x14ac:dyDescent="0.2">
      <c r="A2" s="324"/>
      <c r="B2" s="24"/>
      <c r="C2" s="24"/>
      <c r="D2" s="24"/>
      <c r="E2" s="24"/>
      <c r="F2" s="23"/>
      <c r="G2" s="23"/>
      <c r="H2" s="23"/>
      <c r="I2" s="23"/>
      <c r="J2" s="23"/>
      <c r="K2" s="23"/>
      <c r="L2" s="23"/>
      <c r="M2" s="23"/>
      <c r="N2" s="23"/>
      <c r="O2" s="23"/>
      <c r="P2" s="23"/>
      <c r="Q2" s="23"/>
    </row>
    <row r="3" spans="1:17" ht="58.35" customHeight="1" x14ac:dyDescent="0.2">
      <c r="A3" s="461" t="s">
        <v>1207</v>
      </c>
      <c r="B3" s="4" t="s">
        <v>188</v>
      </c>
      <c r="C3" s="4" t="s">
        <v>895</v>
      </c>
      <c r="D3" s="4" t="s">
        <v>896</v>
      </c>
      <c r="E3" s="4" t="s">
        <v>897</v>
      </c>
      <c r="F3" s="57"/>
      <c r="G3" s="23"/>
      <c r="H3" s="23"/>
      <c r="I3" s="23"/>
      <c r="J3" s="23"/>
      <c r="K3" s="23"/>
      <c r="L3" s="23"/>
      <c r="M3" s="23"/>
      <c r="N3" s="23"/>
      <c r="O3" s="23"/>
      <c r="P3" s="23"/>
      <c r="Q3" s="23"/>
    </row>
    <row r="4" spans="1:17" ht="18.75" customHeight="1" x14ac:dyDescent="0.2">
      <c r="A4" s="623" t="s">
        <v>154</v>
      </c>
      <c r="B4" s="92" t="s">
        <v>72</v>
      </c>
      <c r="C4" s="202"/>
      <c r="D4" s="202"/>
      <c r="E4" s="202"/>
      <c r="F4" s="57"/>
      <c r="G4" s="23"/>
      <c r="H4" s="23"/>
      <c r="I4" s="23"/>
      <c r="J4" s="23"/>
      <c r="K4" s="23"/>
      <c r="L4" s="23"/>
      <c r="M4" s="23"/>
      <c r="N4" s="23"/>
      <c r="O4" s="23"/>
      <c r="P4" s="23"/>
      <c r="Q4" s="23"/>
    </row>
    <row r="5" spans="1:17" ht="69.75" customHeight="1" x14ac:dyDescent="0.2">
      <c r="A5" s="623"/>
      <c r="B5" s="97" t="s">
        <v>41</v>
      </c>
      <c r="C5" s="41">
        <v>1</v>
      </c>
      <c r="D5" s="41">
        <v>0</v>
      </c>
      <c r="E5" s="160" t="s">
        <v>898</v>
      </c>
      <c r="F5" s="57"/>
      <c r="G5" s="23"/>
      <c r="H5" s="23"/>
      <c r="I5" s="23"/>
      <c r="J5" s="23"/>
      <c r="K5" s="23"/>
      <c r="L5" s="23"/>
      <c r="M5" s="23"/>
      <c r="N5" s="23"/>
      <c r="O5" s="23"/>
      <c r="P5" s="23"/>
      <c r="Q5" s="23"/>
    </row>
    <row r="6" spans="1:17" ht="45.75" customHeight="1" x14ac:dyDescent="0.2">
      <c r="A6" s="623"/>
      <c r="B6" s="97" t="s">
        <v>158</v>
      </c>
      <c r="C6" s="48" t="s">
        <v>223</v>
      </c>
      <c r="D6" s="48" t="s">
        <v>16</v>
      </c>
      <c r="E6" s="48" t="s">
        <v>16</v>
      </c>
      <c r="F6" s="57"/>
      <c r="G6" s="23"/>
      <c r="H6" s="23"/>
      <c r="I6" s="23"/>
      <c r="J6" s="23"/>
      <c r="K6" s="23"/>
      <c r="L6" s="23"/>
      <c r="M6" s="23"/>
      <c r="N6" s="23"/>
      <c r="O6" s="23"/>
      <c r="P6" s="23"/>
      <c r="Q6" s="23"/>
    </row>
    <row r="7" spans="1:17" ht="21.6" customHeight="1" x14ac:dyDescent="0.2">
      <c r="A7" s="623" t="s">
        <v>160</v>
      </c>
      <c r="B7" s="92" t="s">
        <v>79</v>
      </c>
      <c r="C7" s="202"/>
      <c r="D7" s="202"/>
      <c r="E7" s="202"/>
      <c r="F7" s="57"/>
      <c r="G7" s="23"/>
      <c r="H7" s="23"/>
      <c r="I7" s="23"/>
      <c r="J7" s="23"/>
      <c r="K7" s="23"/>
      <c r="L7" s="23"/>
      <c r="M7" s="23"/>
      <c r="N7" s="23"/>
      <c r="O7" s="23"/>
      <c r="P7" s="23"/>
      <c r="Q7" s="23"/>
    </row>
    <row r="8" spans="1:17" ht="21.6" customHeight="1" x14ac:dyDescent="0.2">
      <c r="A8" s="623"/>
      <c r="B8" s="97" t="s">
        <v>19</v>
      </c>
      <c r="C8" s="48" t="s">
        <v>16</v>
      </c>
      <c r="D8" s="48" t="s">
        <v>16</v>
      </c>
      <c r="E8" s="48" t="s">
        <v>16</v>
      </c>
      <c r="F8" s="57"/>
      <c r="G8" s="23"/>
      <c r="H8" s="23"/>
      <c r="I8" s="23"/>
      <c r="J8" s="23"/>
      <c r="K8" s="23"/>
      <c r="L8" s="23"/>
      <c r="M8" s="23"/>
      <c r="N8" s="23"/>
      <c r="O8" s="23"/>
      <c r="P8" s="23"/>
      <c r="Q8" s="23"/>
    </row>
    <row r="9" spans="1:17" ht="21.6" customHeight="1" x14ac:dyDescent="0.2">
      <c r="A9" s="623"/>
      <c r="B9" s="92" t="s">
        <v>82</v>
      </c>
      <c r="C9" s="202"/>
      <c r="D9" s="202"/>
      <c r="E9" s="202"/>
      <c r="F9" s="57"/>
      <c r="G9" s="23"/>
      <c r="H9" s="23"/>
      <c r="I9" s="23"/>
      <c r="J9" s="23"/>
      <c r="K9" s="23"/>
      <c r="L9" s="23"/>
      <c r="M9" s="23"/>
      <c r="N9" s="23"/>
      <c r="O9" s="23"/>
      <c r="P9" s="23"/>
      <c r="Q9" s="23"/>
    </row>
    <row r="10" spans="1:17" ht="21.6" customHeight="1" x14ac:dyDescent="0.2">
      <c r="A10" s="623"/>
      <c r="B10" s="97" t="s">
        <v>163</v>
      </c>
      <c r="C10" s="48" t="s">
        <v>16</v>
      </c>
      <c r="D10" s="48" t="s">
        <v>16</v>
      </c>
      <c r="E10" s="48" t="s">
        <v>16</v>
      </c>
      <c r="F10" s="57"/>
      <c r="G10" s="23"/>
      <c r="H10" s="23"/>
      <c r="I10" s="23"/>
      <c r="J10" s="23"/>
      <c r="K10" s="23"/>
      <c r="L10" s="23"/>
      <c r="M10" s="23"/>
      <c r="N10" s="23"/>
      <c r="O10" s="23"/>
      <c r="P10" s="23"/>
      <c r="Q10" s="23"/>
    </row>
    <row r="11" spans="1:17" ht="21.6" customHeight="1" x14ac:dyDescent="0.2">
      <c r="A11" s="623"/>
      <c r="B11" s="97" t="s">
        <v>164</v>
      </c>
      <c r="C11" s="48" t="s">
        <v>16</v>
      </c>
      <c r="D11" s="48" t="s">
        <v>16</v>
      </c>
      <c r="E11" s="48" t="s">
        <v>16</v>
      </c>
      <c r="F11" s="57"/>
      <c r="G11" s="23"/>
      <c r="H11" s="23"/>
      <c r="I11" s="23"/>
      <c r="J11" s="23"/>
      <c r="K11" s="23"/>
      <c r="L11" s="23"/>
      <c r="M11" s="23"/>
      <c r="N11" s="23"/>
      <c r="O11" s="23"/>
      <c r="P11" s="23"/>
      <c r="Q11" s="23"/>
    </row>
    <row r="12" spans="1:17" ht="21.6" customHeight="1" x14ac:dyDescent="0.2">
      <c r="A12" s="623"/>
      <c r="B12" s="97" t="s">
        <v>29</v>
      </c>
      <c r="C12" s="48" t="s">
        <v>16</v>
      </c>
      <c r="D12" s="48" t="s">
        <v>16</v>
      </c>
      <c r="E12" s="48" t="s">
        <v>16</v>
      </c>
      <c r="F12" s="57"/>
      <c r="G12" s="23"/>
      <c r="H12" s="23"/>
      <c r="I12" s="23"/>
      <c r="J12" s="23"/>
      <c r="K12" s="23"/>
      <c r="L12" s="23"/>
      <c r="M12" s="23"/>
      <c r="N12" s="23"/>
      <c r="O12" s="23"/>
      <c r="P12" s="23"/>
      <c r="Q12" s="23"/>
    </row>
    <row r="13" spans="1:17" ht="21.6" customHeight="1" x14ac:dyDescent="0.2">
      <c r="A13" s="623"/>
      <c r="B13" s="92" t="s">
        <v>86</v>
      </c>
      <c r="C13" s="202"/>
      <c r="D13" s="202"/>
      <c r="E13" s="202"/>
      <c r="F13" s="57"/>
      <c r="G13" s="23"/>
      <c r="H13" s="23"/>
      <c r="I13" s="23"/>
      <c r="J13" s="23"/>
      <c r="K13" s="23"/>
      <c r="L13" s="23"/>
      <c r="M13" s="23"/>
      <c r="N13" s="23"/>
      <c r="O13" s="23"/>
      <c r="P13" s="23"/>
      <c r="Q13" s="23"/>
    </row>
    <row r="14" spans="1:17" ht="35.85" customHeight="1" x14ac:dyDescent="0.2">
      <c r="A14" s="623"/>
      <c r="B14" s="97" t="s">
        <v>25</v>
      </c>
      <c r="C14" s="48" t="s">
        <v>16</v>
      </c>
      <c r="D14" s="48" t="s">
        <v>16</v>
      </c>
      <c r="E14" s="48" t="s">
        <v>16</v>
      </c>
      <c r="F14" s="57"/>
      <c r="G14" s="23"/>
      <c r="H14" s="23"/>
      <c r="I14" s="23"/>
      <c r="J14" s="23"/>
      <c r="K14" s="23"/>
      <c r="L14" s="23"/>
      <c r="M14" s="23"/>
      <c r="N14" s="23"/>
      <c r="O14" s="23"/>
      <c r="P14" s="23"/>
      <c r="Q14" s="23"/>
    </row>
    <row r="15" spans="1:17" ht="21.6" customHeight="1" x14ac:dyDescent="0.2">
      <c r="A15" s="623" t="s">
        <v>166</v>
      </c>
      <c r="B15" s="92" t="s">
        <v>89</v>
      </c>
      <c r="C15" s="202"/>
      <c r="D15" s="202"/>
      <c r="E15" s="202"/>
      <c r="F15" s="57"/>
      <c r="G15" s="23"/>
      <c r="H15" s="23"/>
      <c r="I15" s="23"/>
      <c r="J15" s="23"/>
      <c r="K15" s="23"/>
      <c r="L15" s="23"/>
      <c r="M15" s="23"/>
      <c r="N15" s="23"/>
      <c r="O15" s="23"/>
      <c r="P15" s="23"/>
      <c r="Q15" s="23"/>
    </row>
    <row r="16" spans="1:17" ht="21.6" customHeight="1" x14ac:dyDescent="0.2">
      <c r="A16" s="623"/>
      <c r="B16" s="97" t="s">
        <v>11</v>
      </c>
      <c r="C16" s="48" t="s">
        <v>16</v>
      </c>
      <c r="D16" s="48" t="s">
        <v>16</v>
      </c>
      <c r="E16" s="48" t="s">
        <v>16</v>
      </c>
      <c r="F16" s="57"/>
      <c r="G16" s="23"/>
      <c r="H16" s="23"/>
      <c r="I16" s="23"/>
      <c r="J16" s="23"/>
      <c r="K16" s="23"/>
      <c r="L16" s="23"/>
      <c r="M16" s="23"/>
      <c r="N16" s="23"/>
      <c r="O16" s="23"/>
      <c r="P16" s="23"/>
      <c r="Q16" s="23"/>
    </row>
    <row r="17" spans="1:17" ht="21.6" customHeight="1" x14ac:dyDescent="0.2">
      <c r="A17" s="623"/>
      <c r="B17" s="92" t="s">
        <v>94</v>
      </c>
      <c r="C17" s="202"/>
      <c r="D17" s="202"/>
      <c r="E17" s="202"/>
      <c r="F17" s="57"/>
      <c r="G17" s="23"/>
      <c r="H17" s="23"/>
      <c r="I17" s="23"/>
      <c r="J17" s="23"/>
      <c r="K17" s="23"/>
      <c r="L17" s="23"/>
      <c r="M17" s="23"/>
      <c r="N17" s="23"/>
      <c r="O17" s="23"/>
      <c r="P17" s="23"/>
      <c r="Q17" s="23"/>
    </row>
    <row r="18" spans="1:17" ht="21.6" customHeight="1" x14ac:dyDescent="0.2">
      <c r="A18" s="623"/>
      <c r="B18" s="97" t="s">
        <v>167</v>
      </c>
      <c r="C18" s="48" t="s">
        <v>16</v>
      </c>
      <c r="D18" s="48" t="s">
        <v>16</v>
      </c>
      <c r="E18" s="48" t="s">
        <v>16</v>
      </c>
      <c r="F18" s="57"/>
      <c r="G18" s="23"/>
      <c r="H18" s="23"/>
      <c r="I18" s="23"/>
      <c r="J18" s="23"/>
      <c r="K18" s="23"/>
      <c r="L18" s="23"/>
      <c r="M18" s="23"/>
      <c r="N18" s="23"/>
      <c r="O18" s="23"/>
      <c r="P18" s="23"/>
      <c r="Q18" s="23"/>
    </row>
    <row r="19" spans="1:17" ht="21.6" customHeight="1" x14ac:dyDescent="0.2">
      <c r="A19" s="623"/>
      <c r="B19" s="92" t="s">
        <v>97</v>
      </c>
      <c r="C19" s="202"/>
      <c r="D19" s="202"/>
      <c r="E19" s="202"/>
      <c r="F19" s="57"/>
      <c r="G19" s="23"/>
      <c r="H19" s="23"/>
      <c r="I19" s="23"/>
      <c r="J19" s="23"/>
      <c r="K19" s="23"/>
      <c r="L19" s="23"/>
      <c r="M19" s="23"/>
      <c r="N19" s="23"/>
      <c r="O19" s="23"/>
      <c r="P19" s="23"/>
      <c r="Q19" s="23"/>
    </row>
    <row r="20" spans="1:17" ht="25.7" customHeight="1" x14ac:dyDescent="0.2">
      <c r="A20" s="623"/>
      <c r="B20" s="97" t="s">
        <v>20</v>
      </c>
      <c r="C20" s="48" t="s">
        <v>16</v>
      </c>
      <c r="D20" s="48" t="s">
        <v>16</v>
      </c>
      <c r="E20" s="48" t="s">
        <v>16</v>
      </c>
      <c r="F20" s="57"/>
      <c r="G20" s="23"/>
      <c r="H20" s="23"/>
      <c r="I20" s="23"/>
      <c r="J20" s="23"/>
      <c r="K20" s="23"/>
      <c r="L20" s="23"/>
      <c r="M20" s="23"/>
      <c r="N20" s="23"/>
      <c r="O20" s="23"/>
      <c r="P20" s="23"/>
      <c r="Q20" s="23"/>
    </row>
    <row r="21" spans="1:17" ht="21.6" customHeight="1" x14ac:dyDescent="0.2">
      <c r="A21" s="623" t="s">
        <v>168</v>
      </c>
      <c r="B21" s="92" t="s">
        <v>76</v>
      </c>
      <c r="C21" s="202"/>
      <c r="D21" s="202"/>
      <c r="E21" s="202"/>
      <c r="F21" s="57"/>
      <c r="G21" s="23"/>
      <c r="H21" s="23"/>
      <c r="I21" s="23"/>
      <c r="J21" s="23"/>
      <c r="K21" s="23"/>
      <c r="L21" s="23"/>
      <c r="M21" s="23"/>
      <c r="N21" s="23"/>
      <c r="O21" s="23"/>
      <c r="P21" s="23"/>
      <c r="Q21" s="23"/>
    </row>
    <row r="22" spans="1:17" ht="21.6" customHeight="1" x14ac:dyDescent="0.2">
      <c r="A22" s="623"/>
      <c r="B22" s="97" t="s">
        <v>169</v>
      </c>
      <c r="C22" s="48" t="s">
        <v>16</v>
      </c>
      <c r="D22" s="48" t="s">
        <v>16</v>
      </c>
      <c r="E22" s="48" t="s">
        <v>16</v>
      </c>
      <c r="F22" s="57"/>
      <c r="G22" s="23"/>
      <c r="H22" s="23"/>
      <c r="I22" s="23"/>
      <c r="J22" s="23"/>
      <c r="K22" s="23"/>
      <c r="L22" s="23"/>
      <c r="M22" s="23"/>
      <c r="N22" s="23"/>
      <c r="O22" s="23"/>
      <c r="P22" s="23"/>
      <c r="Q22" s="23"/>
    </row>
    <row r="23" spans="1:17" ht="52.5" customHeight="1" x14ac:dyDescent="0.2">
      <c r="A23" s="623"/>
      <c r="B23" s="97" t="s">
        <v>14</v>
      </c>
      <c r="C23" s="48" t="s">
        <v>16</v>
      </c>
      <c r="D23" s="48" t="s">
        <v>16</v>
      </c>
      <c r="E23" s="48" t="s">
        <v>16</v>
      </c>
      <c r="F23" s="57"/>
      <c r="G23" s="23"/>
      <c r="H23" s="23"/>
      <c r="I23" s="23"/>
      <c r="J23" s="23"/>
      <c r="K23" s="23"/>
      <c r="L23" s="23"/>
      <c r="M23" s="23"/>
      <c r="N23" s="23"/>
      <c r="O23" s="23"/>
      <c r="P23" s="23"/>
      <c r="Q23" s="23"/>
    </row>
    <row r="24" spans="1:17" ht="21.6" customHeight="1" x14ac:dyDescent="0.2">
      <c r="A24" s="42" t="s">
        <v>170</v>
      </c>
      <c r="B24" s="120" t="s">
        <v>90</v>
      </c>
      <c r="C24" s="113">
        <v>1</v>
      </c>
      <c r="D24" s="113">
        <v>0</v>
      </c>
      <c r="E24" s="202"/>
      <c r="F24" s="57"/>
      <c r="G24" s="23"/>
      <c r="H24" s="23"/>
      <c r="I24" s="23"/>
      <c r="J24" s="23"/>
      <c r="K24" s="23"/>
      <c r="L24" s="23"/>
      <c r="M24" s="23"/>
      <c r="N24" s="23"/>
      <c r="O24" s="23"/>
      <c r="P24" s="23"/>
      <c r="Q24" s="23"/>
    </row>
    <row r="25" spans="1:17" ht="91.7" customHeight="1" x14ac:dyDescent="0.2">
      <c r="A25" s="563" t="s">
        <v>899</v>
      </c>
      <c r="B25" s="575"/>
      <c r="C25" s="575"/>
      <c r="D25" s="575"/>
      <c r="E25" s="575"/>
      <c r="F25" s="23"/>
      <c r="G25" s="23"/>
      <c r="H25" s="23"/>
      <c r="I25" s="23"/>
      <c r="J25" s="23"/>
      <c r="K25" s="23"/>
      <c r="L25" s="23"/>
      <c r="M25" s="23"/>
      <c r="N25" s="23"/>
      <c r="O25" s="23"/>
      <c r="P25" s="23"/>
      <c r="Q25" s="23"/>
    </row>
    <row r="26" spans="1:17" ht="14.1" customHeight="1" x14ac:dyDescent="0.2">
      <c r="A26" s="23"/>
      <c r="B26" s="23"/>
      <c r="C26" s="23"/>
      <c r="D26" s="23"/>
      <c r="E26" s="23"/>
      <c r="F26" s="23"/>
      <c r="G26" s="23"/>
      <c r="H26" s="23"/>
      <c r="I26" s="23"/>
      <c r="J26" s="23"/>
      <c r="K26" s="23"/>
      <c r="L26" s="23"/>
      <c r="M26" s="23"/>
      <c r="N26" s="23"/>
      <c r="O26" s="23"/>
      <c r="P26" s="23"/>
      <c r="Q26" s="23"/>
    </row>
    <row r="27" spans="1:17" ht="46.7" customHeight="1" x14ac:dyDescent="0.2">
      <c r="A27" s="23"/>
      <c r="B27" s="23"/>
      <c r="C27" s="23"/>
      <c r="D27" s="33"/>
      <c r="E27" s="23"/>
      <c r="F27" s="23"/>
      <c r="G27" s="23"/>
      <c r="H27" s="23"/>
      <c r="I27" s="23"/>
      <c r="J27" s="23"/>
      <c r="K27" s="23"/>
      <c r="L27" s="23"/>
      <c r="M27" s="23"/>
      <c r="N27" s="23"/>
      <c r="O27" s="23"/>
      <c r="P27" s="23"/>
      <c r="Q27" s="23"/>
    </row>
    <row r="28" spans="1:17" ht="15" customHeight="1" x14ac:dyDescent="0.2"/>
    <row r="29" spans="1:17" ht="15" customHeight="1" x14ac:dyDescent="0.2"/>
    <row r="30" spans="1:17" ht="15" customHeight="1" x14ac:dyDescent="0.2"/>
    <row r="31" spans="1:17" ht="15" customHeight="1" x14ac:dyDescent="0.2"/>
    <row r="32" spans="1: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sheetProtection algorithmName="SHA-512" hashValue="1cCKLfMqTTTGKrW8HfRwJi/FKkM0lr+BEaEuqU8ELX0MeyhrX9DiYnX2D1CFs9INEFO8R7FVvlZmzfmeoZGcug==" saltValue="stDpO2gTWCLniSA4hCWrIg==" spinCount="100000" sheet="1" objects="1" scenarios="1"/>
  <mergeCells count="6">
    <mergeCell ref="A25:E25"/>
    <mergeCell ref="A1:D1"/>
    <mergeCell ref="A4:A6"/>
    <mergeCell ref="A7:A14"/>
    <mergeCell ref="A15:A20"/>
    <mergeCell ref="A21: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47"/>
  <sheetViews>
    <sheetView showGridLines="0" showRuler="0" workbookViewId="0">
      <selection activeCell="D15" sqref="D15"/>
    </sheetView>
  </sheetViews>
  <sheetFormatPr defaultColWidth="13.140625" defaultRowHeight="12.75" x14ac:dyDescent="0.2"/>
  <cols>
    <col min="1" max="1" width="29.5703125" customWidth="1"/>
    <col min="2" max="5" width="28" customWidth="1"/>
  </cols>
  <sheetData>
    <row r="1" spans="1:5" ht="15.75" x14ac:dyDescent="0.25">
      <c r="A1" s="560" t="s">
        <v>900</v>
      </c>
      <c r="B1" s="560"/>
      <c r="C1" s="560"/>
      <c r="D1" s="560"/>
      <c r="E1" s="23"/>
    </row>
    <row r="2" spans="1:5" x14ac:dyDescent="0.2">
      <c r="A2" s="24"/>
      <c r="B2" s="24"/>
      <c r="C2" s="24"/>
      <c r="D2" s="24"/>
      <c r="E2" s="23"/>
    </row>
    <row r="3" spans="1:5" ht="44.1" customHeight="1" x14ac:dyDescent="0.2">
      <c r="A3" s="461" t="s">
        <v>1208</v>
      </c>
      <c r="B3" s="4" t="s">
        <v>188</v>
      </c>
      <c r="C3" s="4" t="s">
        <v>901</v>
      </c>
      <c r="D3" s="4" t="s">
        <v>902</v>
      </c>
      <c r="E3" s="57"/>
    </row>
    <row r="4" spans="1:5" ht="21.6" customHeight="1" x14ac:dyDescent="0.2">
      <c r="A4" s="623" t="s">
        <v>154</v>
      </c>
      <c r="B4" s="212" t="s">
        <v>72</v>
      </c>
      <c r="C4" s="301"/>
      <c r="D4" s="301"/>
      <c r="E4" s="57"/>
    </row>
    <row r="5" spans="1:5" ht="21.6" customHeight="1" x14ac:dyDescent="0.2">
      <c r="A5" s="623"/>
      <c r="B5" s="219" t="s">
        <v>41</v>
      </c>
      <c r="C5" s="218" t="s">
        <v>197</v>
      </c>
      <c r="D5" s="225">
        <v>80</v>
      </c>
      <c r="E5" s="57"/>
    </row>
    <row r="6" spans="1:5" ht="21.6" customHeight="1" x14ac:dyDescent="0.2">
      <c r="A6" s="623"/>
      <c r="B6" s="219" t="s">
        <v>158</v>
      </c>
      <c r="C6" s="218" t="s">
        <v>223</v>
      </c>
      <c r="D6" s="218" t="s">
        <v>16</v>
      </c>
      <c r="E6" s="57"/>
    </row>
    <row r="7" spans="1:5" ht="21.6" customHeight="1" x14ac:dyDescent="0.2">
      <c r="A7" s="623" t="s">
        <v>160</v>
      </c>
      <c r="B7" s="212" t="s">
        <v>79</v>
      </c>
      <c r="C7" s="301"/>
      <c r="D7" s="208"/>
      <c r="E7" s="57"/>
    </row>
    <row r="8" spans="1:5" ht="21.6" customHeight="1" x14ac:dyDescent="0.2">
      <c r="A8" s="623"/>
      <c r="B8" s="219" t="s">
        <v>19</v>
      </c>
      <c r="C8" s="218" t="s">
        <v>223</v>
      </c>
      <c r="D8" s="218" t="s">
        <v>16</v>
      </c>
      <c r="E8" s="57"/>
    </row>
    <row r="9" spans="1:5" ht="21.6" customHeight="1" x14ac:dyDescent="0.2">
      <c r="A9" s="623"/>
      <c r="B9" s="212" t="s">
        <v>82</v>
      </c>
      <c r="C9" s="301"/>
      <c r="D9" s="208"/>
      <c r="E9" s="57"/>
    </row>
    <row r="10" spans="1:5" ht="21.6" customHeight="1" x14ac:dyDescent="0.2">
      <c r="A10" s="623"/>
      <c r="B10" s="219" t="s">
        <v>163</v>
      </c>
      <c r="C10" s="218" t="s">
        <v>223</v>
      </c>
      <c r="D10" s="218" t="s">
        <v>16</v>
      </c>
      <c r="E10" s="57"/>
    </row>
    <row r="11" spans="1:5" ht="21.6" customHeight="1" x14ac:dyDescent="0.2">
      <c r="A11" s="623"/>
      <c r="B11" s="219" t="s">
        <v>164</v>
      </c>
      <c r="C11" s="218" t="s">
        <v>223</v>
      </c>
      <c r="D11" s="218" t="s">
        <v>16</v>
      </c>
      <c r="E11" s="57"/>
    </row>
    <row r="12" spans="1:5" ht="21.6" customHeight="1" x14ac:dyDescent="0.2">
      <c r="A12" s="623"/>
      <c r="B12" s="219" t="s">
        <v>29</v>
      </c>
      <c r="C12" s="218" t="s">
        <v>223</v>
      </c>
      <c r="D12" s="218" t="s">
        <v>16</v>
      </c>
      <c r="E12" s="57"/>
    </row>
    <row r="13" spans="1:5" ht="21.6" customHeight="1" x14ac:dyDescent="0.2">
      <c r="A13" s="623"/>
      <c r="B13" s="212" t="s">
        <v>86</v>
      </c>
      <c r="C13" s="301"/>
      <c r="D13" s="208"/>
      <c r="E13" s="57"/>
    </row>
    <row r="14" spans="1:5" ht="21.6" customHeight="1" x14ac:dyDescent="0.2">
      <c r="A14" s="623"/>
      <c r="B14" s="219" t="s">
        <v>25</v>
      </c>
      <c r="C14" s="218" t="s">
        <v>223</v>
      </c>
      <c r="D14" s="218" t="s">
        <v>16</v>
      </c>
      <c r="E14" s="57"/>
    </row>
    <row r="15" spans="1:5" ht="21.6" customHeight="1" x14ac:dyDescent="0.2">
      <c r="A15" s="623" t="s">
        <v>166</v>
      </c>
      <c r="B15" s="212" t="s">
        <v>89</v>
      </c>
      <c r="C15" s="301"/>
      <c r="D15" s="208"/>
      <c r="E15" s="57"/>
    </row>
    <row r="16" spans="1:5" ht="21.6" customHeight="1" x14ac:dyDescent="0.2">
      <c r="A16" s="623"/>
      <c r="B16" s="219" t="s">
        <v>11</v>
      </c>
      <c r="C16" s="218" t="s">
        <v>223</v>
      </c>
      <c r="D16" s="218" t="s">
        <v>16</v>
      </c>
      <c r="E16" s="57"/>
    </row>
    <row r="17" spans="1:5" ht="21.6" customHeight="1" x14ac:dyDescent="0.2">
      <c r="A17" s="623"/>
      <c r="B17" s="212" t="s">
        <v>94</v>
      </c>
      <c r="C17" s="301"/>
      <c r="D17" s="208"/>
      <c r="E17" s="57"/>
    </row>
    <row r="18" spans="1:5" ht="21.6" customHeight="1" x14ac:dyDescent="0.2">
      <c r="A18" s="623"/>
      <c r="B18" s="219" t="s">
        <v>167</v>
      </c>
      <c r="C18" s="218" t="s">
        <v>223</v>
      </c>
      <c r="D18" s="218" t="s">
        <v>16</v>
      </c>
      <c r="E18" s="57"/>
    </row>
    <row r="19" spans="1:5" ht="21.6" customHeight="1" x14ac:dyDescent="0.2">
      <c r="A19" s="623"/>
      <c r="B19" s="212" t="s">
        <v>97</v>
      </c>
      <c r="C19" s="301"/>
      <c r="D19" s="208"/>
      <c r="E19" s="57"/>
    </row>
    <row r="20" spans="1:5" ht="21.6" customHeight="1" x14ac:dyDescent="0.2">
      <c r="A20" s="623"/>
      <c r="B20" s="219" t="s">
        <v>20</v>
      </c>
      <c r="C20" s="218" t="s">
        <v>223</v>
      </c>
      <c r="D20" s="218" t="s">
        <v>16</v>
      </c>
      <c r="E20" s="57"/>
    </row>
    <row r="21" spans="1:5" ht="21.6" customHeight="1" x14ac:dyDescent="0.2">
      <c r="A21" s="623" t="s">
        <v>168</v>
      </c>
      <c r="B21" s="212" t="s">
        <v>76</v>
      </c>
      <c r="C21" s="301"/>
      <c r="D21" s="208"/>
      <c r="E21" s="57"/>
    </row>
    <row r="22" spans="1:5" ht="21.6" customHeight="1" x14ac:dyDescent="0.2">
      <c r="A22" s="623"/>
      <c r="B22" s="219" t="s">
        <v>169</v>
      </c>
      <c r="C22" s="218" t="s">
        <v>223</v>
      </c>
      <c r="D22" s="218" t="s">
        <v>16</v>
      </c>
      <c r="E22" s="57"/>
    </row>
    <row r="23" spans="1:5" ht="21.6" customHeight="1" x14ac:dyDescent="0.2">
      <c r="A23" s="623"/>
      <c r="B23" s="219" t="s">
        <v>14</v>
      </c>
      <c r="C23" s="218" t="s">
        <v>223</v>
      </c>
      <c r="D23" s="218" t="s">
        <v>16</v>
      </c>
      <c r="E23" s="57"/>
    </row>
    <row r="24" spans="1:5" ht="77.45" customHeight="1" x14ac:dyDescent="0.2">
      <c r="A24" s="563" t="s">
        <v>903</v>
      </c>
      <c r="B24" s="575"/>
      <c r="C24" s="575"/>
      <c r="D24" s="634"/>
      <c r="E24" s="23"/>
    </row>
    <row r="25" spans="1:5" ht="14.1" customHeight="1" x14ac:dyDescent="0.2">
      <c r="A25" s="23"/>
      <c r="B25" s="23"/>
      <c r="C25" s="23"/>
      <c r="E25" s="23"/>
    </row>
    <row r="26" spans="1:5" ht="14.1" customHeight="1" x14ac:dyDescent="0.2">
      <c r="A26" s="23"/>
      <c r="B26" s="23"/>
      <c r="C26" s="23"/>
      <c r="D26" s="33"/>
      <c r="E26" s="23"/>
    </row>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sheetData>
  <sheetProtection algorithmName="SHA-512" hashValue="A3zX0RBvoRMQcnZOotLqSFnsOYX0P4/Z93lvpintOAfDN5iSfvc6IpIoq2m1/ZSMG7ZdPw1qPGozhuiJQxOkbg==" saltValue="4P7iHS6qprVTiF5shOHycg==" spinCount="100000" sheet="1" objects="1" scenarios="1"/>
  <mergeCells count="6">
    <mergeCell ref="A24:D24"/>
    <mergeCell ref="A1:D1"/>
    <mergeCell ref="A4:A6"/>
    <mergeCell ref="A7:A14"/>
    <mergeCell ref="A15:A20"/>
    <mergeCell ref="A21:A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62"/>
  <sheetViews>
    <sheetView showGridLines="0" showRuler="0" zoomScaleNormal="100" workbookViewId="0">
      <selection activeCell="A4" sqref="A4:F4"/>
    </sheetView>
  </sheetViews>
  <sheetFormatPr defaultColWidth="13.140625" defaultRowHeight="12.75" x14ac:dyDescent="0.2"/>
  <cols>
    <col min="1" max="1" width="29.28515625" customWidth="1"/>
    <col min="7" max="7" width="6.28515625" customWidth="1"/>
    <col min="8" max="8" width="23.5703125" customWidth="1"/>
    <col min="9" max="9" width="0" hidden="1"/>
    <col min="15" max="15" width="7.5703125" customWidth="1"/>
    <col min="16" max="16" width="38.85546875" customWidth="1"/>
    <col min="17" max="17" width="0" hidden="1"/>
    <col min="23" max="23" width="8.7109375" customWidth="1"/>
    <col min="24" max="24" width="23.5703125" customWidth="1"/>
    <col min="26" max="26" width="15" customWidth="1"/>
    <col min="27" max="30" width="18.140625" customWidth="1"/>
    <col min="31" max="31" width="8.140625" customWidth="1"/>
    <col min="32" max="32" width="23" customWidth="1"/>
    <col min="33" max="33" width="23.5703125" customWidth="1"/>
    <col min="35" max="35" width="9" customWidth="1"/>
    <col min="36" max="36" width="44.42578125" customWidth="1"/>
    <col min="37" max="39" width="18.5703125" customWidth="1"/>
  </cols>
  <sheetData>
    <row r="1" spans="1:54" ht="23.25" customHeight="1" x14ac:dyDescent="0.25">
      <c r="A1" s="583" t="s">
        <v>52</v>
      </c>
      <c r="B1" s="583"/>
      <c r="C1" s="583"/>
      <c r="D1" s="583"/>
      <c r="E1" s="583"/>
      <c r="F1" s="583"/>
      <c r="G1" s="583"/>
    </row>
    <row r="2" spans="1:54" x14ac:dyDescent="0.2">
      <c r="A2" s="7"/>
      <c r="C2" s="23"/>
      <c r="D2" s="23"/>
      <c r="E2" s="23"/>
      <c r="F2" s="23"/>
      <c r="G2" s="23"/>
      <c r="H2" s="23"/>
      <c r="I2" s="23"/>
      <c r="J2" s="23"/>
    </row>
    <row r="3" spans="1:54" x14ac:dyDescent="0.2">
      <c r="A3" s="2"/>
      <c r="B3" s="24"/>
      <c r="C3" s="24"/>
      <c r="D3" s="24"/>
      <c r="E3" s="24"/>
      <c r="F3" s="24"/>
      <c r="G3" s="23"/>
      <c r="H3" s="24"/>
      <c r="I3" s="24"/>
      <c r="J3" s="24"/>
    </row>
    <row r="4" spans="1:54" ht="54.2" customHeight="1" x14ac:dyDescent="0.2">
      <c r="A4" s="584" t="s">
        <v>1135</v>
      </c>
      <c r="B4" s="585"/>
      <c r="C4" s="585"/>
      <c r="D4" s="585"/>
      <c r="E4" s="585"/>
      <c r="F4" s="586"/>
      <c r="G4" s="55"/>
      <c r="H4" s="36" t="s">
        <v>53</v>
      </c>
      <c r="I4" s="37">
        <v>2015</v>
      </c>
      <c r="J4" s="37">
        <v>2016</v>
      </c>
      <c r="K4" s="37">
        <v>2017</v>
      </c>
      <c r="L4" s="37">
        <v>2018</v>
      </c>
      <c r="M4" s="37">
        <v>2019</v>
      </c>
      <c r="N4" s="37">
        <v>2020</v>
      </c>
      <c r="O4" s="55"/>
      <c r="P4" s="36" t="s">
        <v>54</v>
      </c>
      <c r="Q4" s="37">
        <v>2015</v>
      </c>
      <c r="R4" s="37">
        <v>2016</v>
      </c>
      <c r="S4" s="37">
        <v>2017</v>
      </c>
      <c r="T4" s="37">
        <v>2018</v>
      </c>
      <c r="U4" s="37">
        <v>2019</v>
      </c>
      <c r="V4" s="37">
        <v>2020</v>
      </c>
      <c r="W4" s="55"/>
      <c r="X4" s="576" t="s">
        <v>1136</v>
      </c>
      <c r="Y4" s="581" t="s">
        <v>55</v>
      </c>
      <c r="Z4" s="581" t="s">
        <v>56</v>
      </c>
      <c r="AA4" s="578" t="s">
        <v>57</v>
      </c>
      <c r="AB4" s="579"/>
      <c r="AC4" s="579"/>
      <c r="AD4" s="580"/>
      <c r="AE4" s="56"/>
      <c r="AF4" s="458" t="s">
        <v>1137</v>
      </c>
      <c r="AG4" s="4" t="s">
        <v>58</v>
      </c>
      <c r="AH4" s="4" t="s">
        <v>59</v>
      </c>
      <c r="AI4" s="56"/>
      <c r="AJ4" s="39" t="s">
        <v>60</v>
      </c>
      <c r="AK4" s="37">
        <v>2018</v>
      </c>
      <c r="AL4" s="37">
        <v>2019</v>
      </c>
      <c r="AM4" s="37">
        <v>2020</v>
      </c>
      <c r="AN4" s="57"/>
      <c r="AO4" s="23"/>
      <c r="AP4" s="58"/>
      <c r="AQ4" s="58"/>
      <c r="AR4" s="58"/>
      <c r="AS4" s="58"/>
      <c r="AT4" s="58"/>
      <c r="AU4" s="58"/>
      <c r="AV4" s="58"/>
      <c r="AW4" s="58"/>
      <c r="AX4" s="58"/>
      <c r="AY4" s="58"/>
      <c r="AZ4" s="58"/>
      <c r="BA4" s="58"/>
      <c r="BB4" s="58"/>
    </row>
    <row r="5" spans="1:54" ht="63" customHeight="1" x14ac:dyDescent="0.2">
      <c r="A5" s="587" t="s">
        <v>61</v>
      </c>
      <c r="B5" s="561"/>
      <c r="C5" s="561"/>
      <c r="D5" s="561"/>
      <c r="E5" s="561"/>
      <c r="F5" s="561"/>
      <c r="G5" s="59"/>
      <c r="H5" s="40" t="s">
        <v>62</v>
      </c>
      <c r="I5" s="41">
        <v>246</v>
      </c>
      <c r="J5" s="41">
        <v>402</v>
      </c>
      <c r="K5" s="41">
        <v>352</v>
      </c>
      <c r="L5" s="41">
        <v>477</v>
      </c>
      <c r="M5" s="41">
        <v>534</v>
      </c>
      <c r="N5" s="41">
        <v>384</v>
      </c>
      <c r="O5" s="55"/>
      <c r="P5" s="42" t="s">
        <v>63</v>
      </c>
      <c r="Q5" s="43">
        <v>273</v>
      </c>
      <c r="R5" s="43">
        <v>357</v>
      </c>
      <c r="S5" s="43">
        <v>410</v>
      </c>
      <c r="T5" s="44">
        <v>454</v>
      </c>
      <c r="U5" s="44">
        <v>541</v>
      </c>
      <c r="V5" s="44">
        <v>384</v>
      </c>
      <c r="W5" s="55"/>
      <c r="X5" s="577"/>
      <c r="Y5" s="581"/>
      <c r="Z5" s="581"/>
      <c r="AA5" s="45" t="s">
        <v>64</v>
      </c>
      <c r="AB5" s="45" t="s">
        <v>65</v>
      </c>
      <c r="AC5" s="45" t="s">
        <v>66</v>
      </c>
      <c r="AD5" s="45" t="s">
        <v>67</v>
      </c>
      <c r="AE5" s="60"/>
      <c r="AF5" s="46" t="s">
        <v>68</v>
      </c>
      <c r="AG5" s="41">
        <v>163</v>
      </c>
      <c r="AH5" s="522">
        <v>0.42</v>
      </c>
      <c r="AI5" s="60"/>
      <c r="AJ5" s="40" t="s">
        <v>69</v>
      </c>
      <c r="AK5" s="523">
        <v>0.9</v>
      </c>
      <c r="AL5" s="523">
        <v>0.93</v>
      </c>
      <c r="AM5" s="524">
        <v>0.28000000000000003</v>
      </c>
      <c r="AN5" s="57"/>
      <c r="AO5" s="23"/>
      <c r="AP5" s="61"/>
      <c r="AQ5" s="61"/>
      <c r="AR5" s="61"/>
      <c r="AS5" s="61"/>
      <c r="AT5" s="61"/>
      <c r="AU5" s="61"/>
      <c r="AV5" s="61"/>
      <c r="AW5" s="61"/>
      <c r="AX5" s="61"/>
      <c r="AY5" s="61"/>
      <c r="AZ5" s="61"/>
      <c r="BA5" s="61"/>
      <c r="BB5" s="61"/>
    </row>
    <row r="6" spans="1:54" ht="58.5" customHeight="1" x14ac:dyDescent="0.2">
      <c r="A6" s="574" t="s">
        <v>1140</v>
      </c>
      <c r="B6" s="575"/>
      <c r="C6" s="575"/>
      <c r="D6" s="575"/>
      <c r="E6" s="575"/>
      <c r="F6" s="575"/>
      <c r="G6" s="16"/>
      <c r="H6" s="40" t="s">
        <v>70</v>
      </c>
      <c r="I6" s="41">
        <v>102</v>
      </c>
      <c r="J6" s="41">
        <v>165</v>
      </c>
      <c r="K6" s="41">
        <v>134</v>
      </c>
      <c r="L6" s="41">
        <v>215</v>
      </c>
      <c r="M6" s="41">
        <v>169</v>
      </c>
      <c r="N6" s="41">
        <v>71</v>
      </c>
      <c r="O6" s="55"/>
      <c r="P6" s="42" t="s">
        <v>71</v>
      </c>
      <c r="Q6" s="43">
        <v>38</v>
      </c>
      <c r="R6" s="43">
        <v>65</v>
      </c>
      <c r="S6" s="43">
        <v>20</v>
      </c>
      <c r="T6" s="44">
        <v>78</v>
      </c>
      <c r="U6" s="44">
        <v>105</v>
      </c>
      <c r="V6" s="44">
        <v>128</v>
      </c>
      <c r="W6" s="55"/>
      <c r="X6" s="40" t="s">
        <v>72</v>
      </c>
      <c r="Y6" s="41">
        <v>18</v>
      </c>
      <c r="Z6" s="41">
        <v>9</v>
      </c>
      <c r="AA6" s="41">
        <v>1</v>
      </c>
      <c r="AB6" s="41">
        <v>4</v>
      </c>
      <c r="AC6" s="41">
        <v>1</v>
      </c>
      <c r="AD6" s="41">
        <v>12</v>
      </c>
      <c r="AE6" s="63"/>
      <c r="AF6" s="46" t="s">
        <v>73</v>
      </c>
      <c r="AG6" s="41">
        <v>57</v>
      </c>
      <c r="AH6" s="522">
        <v>0.15</v>
      </c>
      <c r="AI6" s="63"/>
      <c r="AJ6" s="441" t="s">
        <v>1138</v>
      </c>
      <c r="AK6" s="523">
        <v>0.98</v>
      </c>
      <c r="AL6" s="523">
        <v>0.93</v>
      </c>
      <c r="AM6" s="523">
        <v>0.86</v>
      </c>
      <c r="AN6" s="57"/>
      <c r="AO6" s="23"/>
      <c r="AP6" s="64"/>
      <c r="AQ6" s="64"/>
      <c r="AR6" s="64"/>
      <c r="AS6" s="64"/>
      <c r="AT6" s="64"/>
      <c r="AU6" s="64"/>
      <c r="AV6" s="64"/>
      <c r="AW6" s="64"/>
      <c r="AX6" s="64"/>
      <c r="AY6" s="64"/>
      <c r="AZ6" s="64"/>
      <c r="BA6" s="64"/>
      <c r="BB6" s="64"/>
    </row>
    <row r="7" spans="1:54" ht="55.7" customHeight="1" x14ac:dyDescent="0.2">
      <c r="A7" s="23"/>
      <c r="B7" s="23"/>
      <c r="C7" s="23"/>
      <c r="D7" s="23"/>
      <c r="E7" s="23"/>
      <c r="F7" s="23"/>
      <c r="G7" s="23"/>
      <c r="H7" s="563" t="s">
        <v>74</v>
      </c>
      <c r="I7" s="563"/>
      <c r="J7" s="563"/>
      <c r="K7" s="563"/>
      <c r="L7" s="563"/>
      <c r="M7" s="563"/>
      <c r="N7" s="563"/>
      <c r="P7" s="42" t="s">
        <v>75</v>
      </c>
      <c r="Q7" s="43">
        <v>246</v>
      </c>
      <c r="R7" s="43">
        <v>402</v>
      </c>
      <c r="S7" s="43">
        <v>352</v>
      </c>
      <c r="T7" s="44">
        <v>477</v>
      </c>
      <c r="U7" s="44">
        <v>518</v>
      </c>
      <c r="V7" s="44">
        <v>460</v>
      </c>
      <c r="W7" s="55"/>
      <c r="X7" s="40" t="s">
        <v>76</v>
      </c>
      <c r="Y7" s="41">
        <v>5</v>
      </c>
      <c r="Z7" s="41">
        <v>4</v>
      </c>
      <c r="AA7" s="41">
        <v>0</v>
      </c>
      <c r="AB7" s="41">
        <v>1</v>
      </c>
      <c r="AC7" s="41">
        <v>0</v>
      </c>
      <c r="AD7" s="41">
        <v>4</v>
      </c>
      <c r="AE7" s="63"/>
      <c r="AF7" s="46" t="s">
        <v>77</v>
      </c>
      <c r="AG7" s="41">
        <v>126</v>
      </c>
      <c r="AH7" s="522">
        <v>0.33</v>
      </c>
      <c r="AI7" s="65"/>
      <c r="AJ7" s="572" t="s">
        <v>1141</v>
      </c>
      <c r="AK7" s="566"/>
      <c r="AL7" s="566"/>
      <c r="AM7" s="566"/>
      <c r="AN7" s="47"/>
      <c r="AO7" s="47"/>
      <c r="AP7" s="64"/>
      <c r="AQ7" s="64"/>
      <c r="AR7" s="64"/>
      <c r="AS7" s="64"/>
      <c r="AT7" s="64"/>
      <c r="AU7" s="64"/>
      <c r="AV7" s="64"/>
      <c r="AW7" s="64"/>
      <c r="AX7" s="64"/>
      <c r="AY7" s="64"/>
      <c r="AZ7" s="64"/>
      <c r="BA7" s="64"/>
      <c r="BB7" s="64"/>
    </row>
    <row r="8" spans="1:54" ht="55.7" customHeight="1" x14ac:dyDescent="0.2">
      <c r="A8" s="7"/>
      <c r="B8" s="7"/>
      <c r="C8" s="7"/>
      <c r="D8" s="7"/>
      <c r="E8" s="7"/>
      <c r="F8" s="7"/>
      <c r="G8" s="7"/>
      <c r="H8" s="23"/>
      <c r="I8" s="23"/>
      <c r="J8" s="23"/>
      <c r="P8" s="42" t="s">
        <v>78</v>
      </c>
      <c r="Q8" s="43">
        <v>65</v>
      </c>
      <c r="R8" s="43">
        <v>20</v>
      </c>
      <c r="S8" s="43">
        <v>78</v>
      </c>
      <c r="T8" s="44">
        <v>55</v>
      </c>
      <c r="U8" s="44">
        <v>130</v>
      </c>
      <c r="V8" s="44">
        <v>52</v>
      </c>
      <c r="W8" s="55"/>
      <c r="X8" s="40" t="s">
        <v>79</v>
      </c>
      <c r="Y8" s="41">
        <v>14</v>
      </c>
      <c r="Z8" s="41">
        <v>5</v>
      </c>
      <c r="AA8" s="41">
        <v>0</v>
      </c>
      <c r="AB8" s="41">
        <v>3</v>
      </c>
      <c r="AC8" s="41">
        <v>1</v>
      </c>
      <c r="AD8" s="41">
        <v>1</v>
      </c>
      <c r="AE8" s="63"/>
      <c r="AF8" s="46" t="s">
        <v>80</v>
      </c>
      <c r="AG8" s="41">
        <v>10</v>
      </c>
      <c r="AH8" s="522">
        <v>0.03</v>
      </c>
      <c r="AI8" s="65"/>
      <c r="AJ8" s="573"/>
      <c r="AK8" s="573"/>
      <c r="AL8" s="573"/>
      <c r="AM8" s="573"/>
      <c r="AN8" s="64"/>
      <c r="AO8" s="64"/>
      <c r="AP8" s="64"/>
      <c r="AQ8" s="64"/>
      <c r="AR8" s="64"/>
      <c r="AS8" s="64"/>
      <c r="AT8" s="64"/>
      <c r="AU8" s="64"/>
      <c r="AV8" s="64"/>
      <c r="AW8" s="64"/>
      <c r="AX8" s="64"/>
      <c r="AY8" s="64"/>
      <c r="AZ8" s="64"/>
      <c r="BA8" s="64"/>
      <c r="BB8" s="64"/>
    </row>
    <row r="9" spans="1:54" ht="55.7" customHeight="1" x14ac:dyDescent="0.2">
      <c r="A9" s="7"/>
      <c r="B9" s="7"/>
      <c r="C9" s="7"/>
      <c r="D9" s="7"/>
      <c r="E9" s="7"/>
      <c r="F9" s="7"/>
      <c r="H9" s="23"/>
      <c r="I9" s="23"/>
      <c r="J9" s="23"/>
      <c r="P9" s="42" t="s">
        <v>81</v>
      </c>
      <c r="Q9" s="43">
        <v>102</v>
      </c>
      <c r="R9" s="43">
        <v>165</v>
      </c>
      <c r="S9" s="43">
        <v>134</v>
      </c>
      <c r="T9" s="44">
        <v>215</v>
      </c>
      <c r="U9" s="44">
        <v>169</v>
      </c>
      <c r="V9" s="44">
        <v>71</v>
      </c>
      <c r="W9" s="55"/>
      <c r="X9" s="40" t="s">
        <v>82</v>
      </c>
      <c r="Y9" s="41">
        <v>12</v>
      </c>
      <c r="Z9" s="41">
        <v>7</v>
      </c>
      <c r="AA9" s="41">
        <v>0</v>
      </c>
      <c r="AB9" s="41">
        <v>7</v>
      </c>
      <c r="AC9" s="41">
        <v>2</v>
      </c>
      <c r="AD9" s="41">
        <v>3</v>
      </c>
      <c r="AE9" s="63"/>
      <c r="AF9" s="46" t="s">
        <v>83</v>
      </c>
      <c r="AG9" s="41">
        <v>1</v>
      </c>
      <c r="AH9" s="522" t="s">
        <v>84</v>
      </c>
      <c r="AI9" s="65"/>
      <c r="AJ9" s="573"/>
      <c r="AK9" s="573"/>
      <c r="AL9" s="573"/>
      <c r="AM9" s="573"/>
      <c r="AN9" s="64"/>
      <c r="AO9" s="64"/>
      <c r="AP9" s="64"/>
      <c r="AQ9" s="64"/>
      <c r="AR9" s="64"/>
      <c r="AS9" s="64"/>
      <c r="AT9" s="64"/>
      <c r="AU9" s="64"/>
      <c r="AV9" s="64"/>
      <c r="AW9" s="64"/>
      <c r="AX9" s="64"/>
      <c r="AY9" s="64"/>
      <c r="AZ9" s="64"/>
      <c r="BA9" s="64"/>
      <c r="BB9" s="64"/>
    </row>
    <row r="10" spans="1:54" ht="55.7" customHeight="1" x14ac:dyDescent="0.2">
      <c r="A10" s="7"/>
      <c r="B10" s="7"/>
      <c r="C10" s="7"/>
      <c r="D10" s="7"/>
      <c r="E10" s="7"/>
      <c r="F10" s="7"/>
      <c r="H10" s="23"/>
      <c r="I10" s="23"/>
      <c r="J10" s="23"/>
      <c r="P10" s="49" t="s">
        <v>85</v>
      </c>
      <c r="Q10" s="43">
        <v>25</v>
      </c>
      <c r="R10" s="43">
        <v>40</v>
      </c>
      <c r="S10" s="43">
        <v>30</v>
      </c>
      <c r="T10" s="44">
        <v>65</v>
      </c>
      <c r="U10" s="44">
        <v>51</v>
      </c>
      <c r="V10" s="44">
        <v>7</v>
      </c>
      <c r="W10" s="55"/>
      <c r="X10" s="40" t="s">
        <v>86</v>
      </c>
      <c r="Y10" s="41">
        <v>21</v>
      </c>
      <c r="Z10" s="41">
        <v>10</v>
      </c>
      <c r="AA10" s="41">
        <v>0</v>
      </c>
      <c r="AB10" s="41">
        <v>3</v>
      </c>
      <c r="AC10" s="41">
        <v>5</v>
      </c>
      <c r="AD10" s="41">
        <v>2</v>
      </c>
      <c r="AE10" s="63"/>
      <c r="AF10" s="46" t="s">
        <v>87</v>
      </c>
      <c r="AG10" s="41">
        <v>27</v>
      </c>
      <c r="AH10" s="522">
        <v>7.0000000000000007E-2</v>
      </c>
      <c r="AI10" s="65"/>
      <c r="AJ10" s="64"/>
      <c r="AK10" s="64"/>
      <c r="AL10" s="64"/>
      <c r="AM10" s="64"/>
      <c r="AN10" s="64"/>
      <c r="AO10" s="64"/>
      <c r="AP10" s="64"/>
      <c r="AQ10" s="64"/>
      <c r="AR10" s="64"/>
      <c r="AS10" s="64"/>
      <c r="AT10" s="64"/>
      <c r="AU10" s="64"/>
      <c r="AV10" s="64"/>
      <c r="AW10" s="64"/>
      <c r="AX10" s="64"/>
      <c r="AY10" s="64"/>
      <c r="AZ10" s="64"/>
      <c r="BA10" s="64"/>
      <c r="BB10" s="64"/>
    </row>
    <row r="11" spans="1:54" ht="55.7" customHeight="1" x14ac:dyDescent="0.2">
      <c r="A11" s="7"/>
      <c r="H11" s="23"/>
      <c r="I11" s="23"/>
      <c r="J11" s="23"/>
      <c r="P11" s="49" t="s">
        <v>88</v>
      </c>
      <c r="Q11" s="43">
        <v>77</v>
      </c>
      <c r="R11" s="43">
        <v>125</v>
      </c>
      <c r="S11" s="43">
        <v>99</v>
      </c>
      <c r="T11" s="44">
        <v>142</v>
      </c>
      <c r="U11" s="44">
        <v>118</v>
      </c>
      <c r="V11" s="44">
        <v>63</v>
      </c>
      <c r="W11" s="55"/>
      <c r="X11" s="40" t="s">
        <v>89</v>
      </c>
      <c r="Y11" s="41">
        <v>34</v>
      </c>
      <c r="Z11" s="41">
        <v>10</v>
      </c>
      <c r="AA11" s="41">
        <v>2</v>
      </c>
      <c r="AB11" s="41">
        <v>5</v>
      </c>
      <c r="AC11" s="41">
        <v>1</v>
      </c>
      <c r="AD11" s="41">
        <v>3</v>
      </c>
      <c r="AE11" s="63"/>
      <c r="AF11" s="42" t="s">
        <v>90</v>
      </c>
      <c r="AG11" s="43">
        <v>384</v>
      </c>
      <c r="AH11" s="50" t="s">
        <v>91</v>
      </c>
      <c r="AI11" s="65"/>
      <c r="AJ11" s="64"/>
      <c r="AK11" s="64"/>
      <c r="AL11" s="64"/>
      <c r="AM11" s="64"/>
      <c r="AN11" s="64"/>
      <c r="AO11" s="64"/>
      <c r="AP11" s="64"/>
      <c r="AQ11" s="64"/>
      <c r="AR11" s="64"/>
      <c r="AS11" s="64"/>
      <c r="AT11" s="64"/>
      <c r="AU11" s="64"/>
      <c r="AV11" s="64"/>
      <c r="AW11" s="64"/>
      <c r="AX11" s="64"/>
      <c r="AY11" s="64"/>
      <c r="AZ11" s="64"/>
      <c r="BA11" s="64"/>
      <c r="BB11" s="64"/>
    </row>
    <row r="12" spans="1:54" ht="55.7" customHeight="1" x14ac:dyDescent="0.2">
      <c r="A12" s="23"/>
      <c r="B12" s="23"/>
      <c r="C12" s="23"/>
      <c r="D12" s="23"/>
      <c r="E12" s="23"/>
      <c r="F12" s="23"/>
      <c r="G12" s="23"/>
      <c r="H12" s="23"/>
      <c r="I12" s="23"/>
      <c r="J12" s="23"/>
      <c r="P12" s="51" t="s">
        <v>92</v>
      </c>
      <c r="Q12" s="52" t="s">
        <v>93</v>
      </c>
      <c r="R12" s="48" t="s">
        <v>93</v>
      </c>
      <c r="S12" s="41">
        <v>49</v>
      </c>
      <c r="T12" s="53">
        <v>80</v>
      </c>
      <c r="U12" s="53">
        <v>54</v>
      </c>
      <c r="V12" s="53">
        <v>24</v>
      </c>
      <c r="W12" s="55"/>
      <c r="X12" s="40" t="s">
        <v>94</v>
      </c>
      <c r="Y12" s="41">
        <v>31</v>
      </c>
      <c r="Z12" s="41">
        <v>8</v>
      </c>
      <c r="AA12" s="41">
        <v>1</v>
      </c>
      <c r="AB12" s="41">
        <v>3</v>
      </c>
      <c r="AC12" s="41">
        <v>1</v>
      </c>
      <c r="AD12" s="41">
        <v>3</v>
      </c>
      <c r="AE12" s="65"/>
      <c r="AF12" s="563" t="s">
        <v>95</v>
      </c>
      <c r="AG12" s="563"/>
      <c r="AH12" s="563"/>
      <c r="AI12" s="64"/>
      <c r="AJ12" s="64"/>
      <c r="AK12" s="64"/>
      <c r="AL12" s="64"/>
      <c r="AM12" s="64"/>
      <c r="AN12" s="64"/>
      <c r="AO12" s="64"/>
      <c r="AP12" s="64"/>
      <c r="AQ12" s="64"/>
      <c r="AR12" s="64"/>
      <c r="AS12" s="64"/>
      <c r="AT12" s="64"/>
      <c r="AU12" s="64"/>
      <c r="AV12" s="64"/>
      <c r="AW12" s="64"/>
      <c r="AX12" s="64"/>
      <c r="AY12" s="64"/>
      <c r="AZ12" s="64"/>
      <c r="BA12" s="64"/>
      <c r="BB12" s="64"/>
    </row>
    <row r="13" spans="1:54" ht="55.7" customHeight="1" x14ac:dyDescent="0.2">
      <c r="A13" s="7"/>
      <c r="B13" s="7"/>
      <c r="C13" s="7"/>
      <c r="D13" s="7"/>
      <c r="E13" s="7"/>
      <c r="F13" s="7"/>
      <c r="G13" s="7"/>
      <c r="H13" s="61"/>
      <c r="I13" s="23"/>
      <c r="J13" s="23"/>
      <c r="P13" s="51" t="s">
        <v>96</v>
      </c>
      <c r="Q13" s="52" t="s">
        <v>93</v>
      </c>
      <c r="R13" s="48" t="s">
        <v>93</v>
      </c>
      <c r="S13" s="41">
        <v>25</v>
      </c>
      <c r="T13" s="53">
        <v>38</v>
      </c>
      <c r="U13" s="53">
        <v>29</v>
      </c>
      <c r="V13" s="53">
        <v>14</v>
      </c>
      <c r="W13" s="55"/>
      <c r="X13" s="40" t="s">
        <v>97</v>
      </c>
      <c r="Y13" s="41">
        <v>28</v>
      </c>
      <c r="Z13" s="41">
        <v>15</v>
      </c>
      <c r="AA13" s="41">
        <v>2</v>
      </c>
      <c r="AB13" s="41">
        <v>5</v>
      </c>
      <c r="AC13" s="41">
        <v>4</v>
      </c>
      <c r="AD13" s="41">
        <v>5</v>
      </c>
      <c r="AE13" s="65"/>
      <c r="AF13" s="564"/>
      <c r="AG13" s="564"/>
      <c r="AH13" s="564"/>
      <c r="AI13" s="64"/>
      <c r="AJ13" s="64"/>
      <c r="AK13" s="64"/>
      <c r="AL13" s="64"/>
      <c r="AM13" s="64"/>
      <c r="AN13" s="64"/>
      <c r="AO13" s="64"/>
      <c r="AP13" s="64"/>
      <c r="AQ13" s="64"/>
      <c r="AR13" s="64"/>
      <c r="AS13" s="64"/>
      <c r="AT13" s="64"/>
      <c r="AU13" s="64"/>
      <c r="AV13" s="64"/>
      <c r="AW13" s="64"/>
      <c r="AX13" s="64"/>
      <c r="AY13" s="64"/>
      <c r="AZ13" s="64"/>
      <c r="BA13" s="64"/>
      <c r="BB13" s="64"/>
    </row>
    <row r="14" spans="1:54" ht="55.7" customHeight="1" x14ac:dyDescent="0.2">
      <c r="A14" s="7"/>
      <c r="B14" s="7"/>
      <c r="C14" s="7"/>
      <c r="D14" s="7"/>
      <c r="E14" s="7"/>
      <c r="F14" s="7"/>
      <c r="H14" s="66"/>
      <c r="I14" s="23"/>
      <c r="J14" s="23"/>
      <c r="P14" s="51" t="s">
        <v>98</v>
      </c>
      <c r="Q14" s="52" t="s">
        <v>93</v>
      </c>
      <c r="R14" s="48" t="s">
        <v>93</v>
      </c>
      <c r="S14" s="41">
        <v>25</v>
      </c>
      <c r="T14" s="53">
        <v>24</v>
      </c>
      <c r="U14" s="53">
        <v>25</v>
      </c>
      <c r="V14" s="53">
        <v>26</v>
      </c>
      <c r="W14" s="55"/>
      <c r="X14" s="46" t="s">
        <v>99</v>
      </c>
      <c r="Y14" s="41">
        <v>4</v>
      </c>
      <c r="Z14" s="41">
        <v>2</v>
      </c>
      <c r="AA14" s="41">
        <v>1</v>
      </c>
      <c r="AB14" s="41">
        <v>0</v>
      </c>
      <c r="AC14" s="41">
        <v>1</v>
      </c>
      <c r="AD14" s="41">
        <v>0</v>
      </c>
      <c r="AE14" s="65"/>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5" spans="1:54" ht="55.7" customHeight="1" x14ac:dyDescent="0.2">
      <c r="A15" s="7"/>
      <c r="B15" s="7"/>
      <c r="C15" s="7"/>
      <c r="D15" s="7"/>
      <c r="E15" s="7"/>
      <c r="F15" s="7"/>
      <c r="H15" s="66"/>
      <c r="I15" s="23"/>
      <c r="J15" s="23"/>
      <c r="P15" s="42" t="s">
        <v>100</v>
      </c>
      <c r="Q15" s="43">
        <v>55</v>
      </c>
      <c r="R15" s="43">
        <v>54</v>
      </c>
      <c r="S15" s="43">
        <v>37</v>
      </c>
      <c r="T15" s="44">
        <v>53</v>
      </c>
      <c r="U15" s="44">
        <v>68</v>
      </c>
      <c r="V15" s="44">
        <v>80</v>
      </c>
      <c r="W15" s="55"/>
      <c r="X15" s="46" t="s">
        <v>101</v>
      </c>
      <c r="Y15" s="41">
        <v>3</v>
      </c>
      <c r="Z15" s="41">
        <v>1</v>
      </c>
      <c r="AA15" s="41">
        <v>0</v>
      </c>
      <c r="AB15" s="41">
        <v>0</v>
      </c>
      <c r="AC15" s="41">
        <v>0</v>
      </c>
      <c r="AD15" s="41">
        <v>5</v>
      </c>
      <c r="AE15" s="65"/>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1:54" ht="55.7" customHeight="1" x14ac:dyDescent="0.2">
      <c r="A16" s="7"/>
      <c r="B16" s="7"/>
      <c r="C16" s="7"/>
      <c r="D16" s="7"/>
      <c r="E16" s="7"/>
      <c r="F16" s="7"/>
      <c r="H16" s="66"/>
      <c r="I16" s="23"/>
      <c r="J16" s="23"/>
      <c r="P16" s="42" t="s">
        <v>102</v>
      </c>
      <c r="Q16" s="43">
        <v>144</v>
      </c>
      <c r="R16" s="43">
        <v>237</v>
      </c>
      <c r="S16" s="43">
        <v>218</v>
      </c>
      <c r="T16" s="44">
        <v>311</v>
      </c>
      <c r="U16" s="44">
        <v>365</v>
      </c>
      <c r="V16" s="44">
        <v>100</v>
      </c>
      <c r="W16" s="55"/>
      <c r="X16" s="46" t="s">
        <v>103</v>
      </c>
      <c r="Y16" s="41">
        <v>1</v>
      </c>
      <c r="Z16" s="41">
        <v>0</v>
      </c>
      <c r="AA16" s="41">
        <v>0</v>
      </c>
      <c r="AB16" s="41">
        <v>0</v>
      </c>
      <c r="AC16" s="41">
        <v>0</v>
      </c>
      <c r="AD16" s="41">
        <v>0</v>
      </c>
      <c r="AE16" s="67"/>
      <c r="AF16" s="66"/>
      <c r="AG16" s="66"/>
      <c r="AH16" s="66"/>
      <c r="AI16" s="66"/>
      <c r="AJ16" s="66"/>
      <c r="AK16" s="66"/>
      <c r="AL16" s="66"/>
      <c r="AM16" s="66"/>
      <c r="AN16" s="66"/>
      <c r="AO16" s="66"/>
      <c r="AP16" s="66"/>
      <c r="AQ16" s="66"/>
      <c r="AR16" s="66"/>
      <c r="AS16" s="66"/>
      <c r="AT16" s="66"/>
      <c r="AU16" s="66"/>
      <c r="AV16" s="66"/>
      <c r="AW16" s="66"/>
      <c r="AX16" s="66"/>
      <c r="AY16" s="66"/>
      <c r="AZ16" s="66"/>
      <c r="BA16" s="66"/>
      <c r="BB16" s="66"/>
    </row>
    <row r="17" spans="1:54" ht="44.1" customHeight="1" x14ac:dyDescent="0.2">
      <c r="A17" s="7"/>
      <c r="B17" s="7"/>
      <c r="C17" s="7"/>
      <c r="D17" s="7"/>
      <c r="E17" s="7"/>
      <c r="F17" s="7"/>
      <c r="H17" s="66"/>
      <c r="I17" s="23"/>
      <c r="J17" s="34"/>
      <c r="P17" s="42" t="s">
        <v>104</v>
      </c>
      <c r="Q17" s="43">
        <v>246</v>
      </c>
      <c r="R17" s="43">
        <v>402</v>
      </c>
      <c r="S17" s="43">
        <v>352</v>
      </c>
      <c r="T17" s="44">
        <v>526</v>
      </c>
      <c r="U17" s="44">
        <v>534</v>
      </c>
      <c r="V17" s="44">
        <v>171</v>
      </c>
      <c r="W17" s="55"/>
      <c r="X17" s="54" t="s">
        <v>90</v>
      </c>
      <c r="Y17" s="43">
        <v>171</v>
      </c>
      <c r="Z17" s="43">
        <v>71</v>
      </c>
      <c r="AA17" s="43">
        <v>7</v>
      </c>
      <c r="AB17" s="43">
        <v>31</v>
      </c>
      <c r="AC17" s="43">
        <v>16</v>
      </c>
      <c r="AD17" s="43">
        <v>38</v>
      </c>
      <c r="AE17" s="68"/>
      <c r="AF17" s="47"/>
      <c r="AG17" s="47"/>
      <c r="AH17" s="47"/>
      <c r="AI17" s="47"/>
      <c r="AJ17" s="47"/>
      <c r="AK17" s="47"/>
      <c r="AL17" s="47"/>
      <c r="AM17" s="47"/>
      <c r="AN17" s="47"/>
      <c r="AO17" s="47"/>
      <c r="AP17" s="47"/>
      <c r="AQ17" s="47"/>
      <c r="AR17" s="47"/>
      <c r="AS17" s="47"/>
      <c r="AT17" s="47"/>
      <c r="AU17" s="47"/>
      <c r="AV17" s="47"/>
      <c r="AW17" s="47"/>
      <c r="AX17" s="47"/>
      <c r="AY17" s="47"/>
      <c r="AZ17" s="47"/>
      <c r="BA17" s="47"/>
      <c r="BB17" s="47"/>
    </row>
    <row r="18" spans="1:54" ht="234" customHeight="1" x14ac:dyDescent="0.2">
      <c r="A18" s="7"/>
      <c r="B18" s="7"/>
      <c r="C18" s="7"/>
      <c r="D18" s="7"/>
      <c r="E18" s="7"/>
      <c r="F18" s="7"/>
      <c r="H18" s="66"/>
      <c r="I18" s="23"/>
      <c r="J18" s="23"/>
      <c r="P18" s="572" t="s">
        <v>1139</v>
      </c>
      <c r="Q18" s="566"/>
      <c r="R18" s="566"/>
      <c r="S18" s="566"/>
      <c r="T18" s="566"/>
      <c r="U18" s="566"/>
      <c r="V18" s="566"/>
      <c r="X18" s="566" t="s">
        <v>105</v>
      </c>
      <c r="Y18" s="566"/>
      <c r="Z18" s="566"/>
      <c r="AA18" s="566"/>
      <c r="AB18" s="566"/>
      <c r="AC18" s="566"/>
      <c r="AD18" s="566"/>
      <c r="AE18" s="573"/>
    </row>
    <row r="19" spans="1:54" ht="44.1" customHeight="1" x14ac:dyDescent="0.2">
      <c r="A19" s="7"/>
      <c r="B19" s="7"/>
      <c r="C19" s="7"/>
      <c r="D19" s="7"/>
      <c r="E19" s="7"/>
      <c r="F19" s="7"/>
      <c r="H19" s="66"/>
      <c r="I19" s="23"/>
      <c r="J19" s="23"/>
      <c r="AC19" s="459">
        <f>SUM(AB17:AD17)</f>
        <v>85</v>
      </c>
    </row>
    <row r="20" spans="1:54" ht="44.1" customHeight="1" x14ac:dyDescent="0.2">
      <c r="A20" s="7"/>
      <c r="B20" s="7"/>
      <c r="C20" s="7"/>
      <c r="D20" s="7"/>
      <c r="E20" s="7"/>
      <c r="F20" s="7"/>
      <c r="H20" s="66"/>
      <c r="I20" s="23"/>
      <c r="J20" s="23"/>
    </row>
    <row r="21" spans="1:54" ht="44.1" customHeight="1" x14ac:dyDescent="0.2">
      <c r="A21" s="7"/>
      <c r="B21" s="7"/>
      <c r="C21" s="7"/>
      <c r="D21" s="7"/>
      <c r="E21" s="7"/>
      <c r="F21" s="7"/>
      <c r="H21" s="64"/>
      <c r="I21" s="23"/>
      <c r="J21" s="23"/>
    </row>
    <row r="22" spans="1:54" ht="44.1" customHeight="1" x14ac:dyDescent="0.2">
      <c r="A22" s="7"/>
      <c r="B22" s="7"/>
      <c r="C22" s="7"/>
      <c r="D22" s="7"/>
      <c r="E22" s="7"/>
      <c r="F22" s="7"/>
      <c r="H22" s="64"/>
      <c r="I22" s="23"/>
      <c r="J22" s="23"/>
    </row>
    <row r="23" spans="1:54" ht="44.1" customHeight="1" x14ac:dyDescent="0.2">
      <c r="A23" s="7"/>
      <c r="B23" s="7"/>
      <c r="C23" s="7"/>
      <c r="D23" s="7"/>
      <c r="E23" s="7"/>
      <c r="F23" s="7"/>
      <c r="H23" s="64"/>
      <c r="I23" s="23"/>
      <c r="J23" s="23"/>
    </row>
    <row r="24" spans="1:54" ht="44.1" customHeight="1" x14ac:dyDescent="0.2">
      <c r="A24" s="7"/>
      <c r="B24" s="7"/>
      <c r="C24" s="7"/>
      <c r="D24" s="7"/>
      <c r="E24" s="7"/>
      <c r="F24" s="7"/>
      <c r="H24" s="66"/>
      <c r="I24" s="23"/>
      <c r="J24" s="23"/>
    </row>
    <row r="25" spans="1:54" ht="44.1" customHeight="1" x14ac:dyDescent="0.2">
      <c r="A25" s="7"/>
      <c r="B25" s="7"/>
      <c r="C25" s="7"/>
      <c r="D25" s="7"/>
      <c r="E25" s="7"/>
      <c r="F25" s="7"/>
      <c r="H25" s="66"/>
      <c r="I25" s="23"/>
      <c r="J25" s="23"/>
    </row>
    <row r="26" spans="1:54" ht="44.1" customHeight="1" x14ac:dyDescent="0.2">
      <c r="A26" s="7"/>
      <c r="B26" s="7"/>
      <c r="C26" s="7"/>
      <c r="D26" s="7"/>
      <c r="E26" s="7"/>
      <c r="F26" s="7"/>
      <c r="H26" s="66"/>
      <c r="I26" s="23"/>
      <c r="J26" s="34"/>
    </row>
    <row r="27" spans="1:54" ht="63.2" customHeight="1" x14ac:dyDescent="0.2">
      <c r="A27" s="7"/>
      <c r="H27" s="69"/>
      <c r="I27" s="23"/>
      <c r="J27" s="23"/>
    </row>
    <row r="28" spans="1:54" ht="66.599999999999994" customHeight="1" x14ac:dyDescent="0.2">
      <c r="A28" s="23"/>
      <c r="B28" s="23"/>
      <c r="C28" s="23"/>
      <c r="D28" s="33"/>
      <c r="E28" s="23"/>
      <c r="F28" s="23"/>
      <c r="G28" s="23"/>
      <c r="H28" s="23"/>
      <c r="I28" s="23"/>
      <c r="J28" s="23"/>
    </row>
    <row r="29" spans="1:54" ht="21.6" customHeight="1" x14ac:dyDescent="0.2">
      <c r="A29" s="7"/>
      <c r="B29" s="7"/>
      <c r="C29" s="7"/>
      <c r="D29" s="7"/>
      <c r="I29" s="70"/>
      <c r="J29" s="23"/>
    </row>
    <row r="30" spans="1:54" ht="80.099999999999994" customHeight="1" x14ac:dyDescent="0.2">
      <c r="D30" s="7"/>
      <c r="E30" s="7"/>
      <c r="F30" s="7"/>
      <c r="G30" s="7"/>
      <c r="H30" s="7"/>
      <c r="I30" s="58"/>
      <c r="J30" s="58"/>
    </row>
    <row r="31" spans="1:54" ht="26.65" customHeight="1" x14ac:dyDescent="0.2">
      <c r="A31" s="7"/>
      <c r="B31" s="7"/>
      <c r="C31" s="7"/>
      <c r="D31" s="7"/>
      <c r="E31" s="7"/>
      <c r="F31" s="7"/>
      <c r="G31" s="7"/>
      <c r="H31" s="7"/>
      <c r="I31" s="71"/>
      <c r="J31" s="71"/>
    </row>
    <row r="32" spans="1:54" ht="26.65" customHeight="1" x14ac:dyDescent="0.2">
      <c r="A32" s="7"/>
      <c r="B32" s="7"/>
      <c r="C32" s="7"/>
      <c r="D32" s="7"/>
      <c r="E32" s="7"/>
      <c r="F32" s="7"/>
      <c r="G32" s="7"/>
      <c r="H32" s="7"/>
      <c r="I32" s="71"/>
      <c r="J32" s="71"/>
    </row>
    <row r="33" spans="1:10" ht="26.65" customHeight="1" x14ac:dyDescent="0.2">
      <c r="A33" s="7"/>
      <c r="B33" s="7"/>
      <c r="C33" s="7"/>
      <c r="D33" s="7"/>
      <c r="E33" s="7"/>
      <c r="F33" s="7"/>
      <c r="G33" s="7"/>
      <c r="H33" s="7"/>
      <c r="I33" s="71"/>
      <c r="J33" s="71"/>
    </row>
    <row r="34" spans="1:10" ht="26.65" customHeight="1" x14ac:dyDescent="0.2">
      <c r="A34" s="7"/>
      <c r="B34" s="7"/>
      <c r="C34" s="7"/>
      <c r="D34" s="7"/>
      <c r="E34" s="7"/>
      <c r="F34" s="7"/>
      <c r="G34" s="7"/>
      <c r="H34" s="7"/>
      <c r="I34" s="71"/>
      <c r="J34" s="71"/>
    </row>
    <row r="35" spans="1:10" ht="26.65" customHeight="1" x14ac:dyDescent="0.2">
      <c r="A35" s="7"/>
      <c r="B35" s="7"/>
      <c r="C35" s="7"/>
      <c r="D35" s="7"/>
      <c r="E35" s="7"/>
      <c r="F35" s="7"/>
      <c r="G35" s="7"/>
      <c r="H35" s="7"/>
      <c r="I35" s="71"/>
      <c r="J35" s="71"/>
    </row>
    <row r="36" spans="1:10" ht="26.65" customHeight="1" x14ac:dyDescent="0.2">
      <c r="A36" s="7"/>
      <c r="B36" s="7"/>
      <c r="C36" s="7"/>
      <c r="D36" s="7"/>
      <c r="E36" s="7"/>
      <c r="F36" s="7"/>
      <c r="G36" s="7"/>
      <c r="H36" s="7"/>
      <c r="I36" s="71"/>
      <c r="J36" s="71"/>
    </row>
    <row r="37" spans="1:10" ht="26.65" customHeight="1" x14ac:dyDescent="0.2">
      <c r="A37" s="7"/>
      <c r="B37" s="7"/>
      <c r="C37" s="7"/>
      <c r="D37" s="7"/>
      <c r="E37" s="7"/>
      <c r="F37" s="7"/>
      <c r="G37" s="7"/>
      <c r="H37" s="7"/>
      <c r="I37" s="71"/>
      <c r="J37" s="71"/>
    </row>
    <row r="38" spans="1:10" ht="26.65" customHeight="1" x14ac:dyDescent="0.2">
      <c r="A38" s="7"/>
      <c r="B38" s="7"/>
      <c r="C38" s="7"/>
      <c r="D38" s="7"/>
      <c r="E38" s="7"/>
      <c r="F38" s="7"/>
      <c r="G38" s="7"/>
      <c r="H38" s="7"/>
      <c r="I38" s="71"/>
      <c r="J38" s="71"/>
    </row>
    <row r="39" spans="1:10" ht="26.65" customHeight="1" x14ac:dyDescent="0.2">
      <c r="A39" s="7"/>
      <c r="B39" s="7"/>
      <c r="C39" s="7"/>
      <c r="D39" s="7"/>
      <c r="E39" s="7"/>
      <c r="F39" s="7"/>
      <c r="G39" s="7"/>
      <c r="H39" s="7"/>
      <c r="I39" s="71"/>
      <c r="J39" s="71"/>
    </row>
    <row r="40" spans="1:10" ht="26.65" customHeight="1" x14ac:dyDescent="0.2">
      <c r="A40" s="7"/>
      <c r="B40" s="7"/>
      <c r="C40" s="7"/>
      <c r="D40" s="7"/>
      <c r="E40" s="7"/>
      <c r="F40" s="7"/>
      <c r="G40" s="7"/>
      <c r="H40" s="7"/>
      <c r="I40" s="71"/>
      <c r="J40" s="71"/>
    </row>
    <row r="41" spans="1:10" ht="26.65" customHeight="1" x14ac:dyDescent="0.2">
      <c r="A41" s="7"/>
      <c r="B41" s="7"/>
      <c r="C41" s="7"/>
      <c r="D41" s="7"/>
      <c r="E41" s="7"/>
      <c r="F41" s="7"/>
      <c r="G41" s="7"/>
      <c r="H41" s="7"/>
      <c r="I41" s="71"/>
      <c r="J41" s="71"/>
    </row>
    <row r="42" spans="1:10" ht="75" customHeight="1" x14ac:dyDescent="0.2">
      <c r="A42" s="7"/>
      <c r="I42" s="72"/>
      <c r="J42" s="23"/>
    </row>
    <row r="43" spans="1:10" ht="14.1" customHeight="1" x14ac:dyDescent="0.2">
      <c r="A43" s="23"/>
      <c r="B43" s="23"/>
      <c r="C43" s="23"/>
      <c r="D43" s="23"/>
      <c r="E43" s="23"/>
      <c r="F43" s="23"/>
      <c r="G43" s="23"/>
      <c r="H43" s="23"/>
      <c r="I43" s="23"/>
      <c r="J43" s="23"/>
    </row>
    <row r="44" spans="1:10" ht="14.1" customHeight="1" x14ac:dyDescent="0.2">
      <c r="A44" s="23"/>
      <c r="B44" s="23"/>
      <c r="C44" s="23"/>
      <c r="D44" s="23"/>
      <c r="E44" s="23"/>
      <c r="F44" s="23"/>
      <c r="G44" s="23"/>
      <c r="H44" s="23"/>
      <c r="I44" s="23"/>
      <c r="J44" s="23"/>
    </row>
    <row r="45" spans="1:10" ht="31.7" customHeight="1" x14ac:dyDescent="0.2">
      <c r="A45" s="7"/>
      <c r="B45" s="7"/>
      <c r="C45" s="7"/>
      <c r="D45" s="23"/>
      <c r="E45" s="23"/>
      <c r="F45" s="23"/>
      <c r="G45" s="23"/>
      <c r="H45" s="23"/>
      <c r="I45" s="23"/>
      <c r="J45" s="23"/>
    </row>
    <row r="46" spans="1:10" ht="21.6" customHeight="1" x14ac:dyDescent="0.2">
      <c r="A46" s="7"/>
      <c r="B46" s="7"/>
      <c r="C46" s="7"/>
      <c r="D46" s="23"/>
      <c r="E46" s="23"/>
      <c r="F46" s="23"/>
      <c r="G46" s="23"/>
      <c r="H46" s="23"/>
      <c r="I46" s="23"/>
      <c r="J46" s="23"/>
    </row>
    <row r="47" spans="1:10" ht="21.6" customHeight="1" x14ac:dyDescent="0.2">
      <c r="A47" s="7"/>
      <c r="B47" s="7"/>
      <c r="C47" s="7"/>
      <c r="D47" s="23"/>
      <c r="E47" s="23"/>
      <c r="F47" s="23"/>
      <c r="G47" s="23"/>
      <c r="H47" s="23"/>
      <c r="I47" s="23"/>
      <c r="J47" s="23"/>
    </row>
    <row r="48" spans="1:10" ht="21.6" customHeight="1" x14ac:dyDescent="0.2">
      <c r="A48" s="7"/>
      <c r="B48" s="7"/>
      <c r="C48" s="7"/>
      <c r="D48" s="23"/>
      <c r="E48" s="23"/>
      <c r="F48" s="23"/>
      <c r="G48" s="23"/>
      <c r="H48" s="23"/>
      <c r="I48" s="23"/>
      <c r="J48" s="23"/>
    </row>
    <row r="49" spans="1:10" ht="21.6" customHeight="1" x14ac:dyDescent="0.2">
      <c r="A49" s="7"/>
      <c r="B49" s="7"/>
      <c r="C49" s="7"/>
      <c r="D49" s="23"/>
      <c r="E49" s="23"/>
      <c r="F49" s="23"/>
      <c r="G49" s="23"/>
      <c r="H49" s="23"/>
      <c r="I49" s="23"/>
      <c r="J49" s="23"/>
    </row>
    <row r="50" spans="1:10" ht="21.6" customHeight="1" x14ac:dyDescent="0.2">
      <c r="A50" s="7"/>
      <c r="B50" s="7"/>
      <c r="C50" s="7"/>
      <c r="D50" s="23"/>
      <c r="E50" s="23"/>
      <c r="F50" s="23"/>
      <c r="G50" s="23"/>
      <c r="H50" s="23"/>
      <c r="I50" s="23"/>
      <c r="J50" s="23"/>
    </row>
    <row r="51" spans="1:10" ht="21.6" customHeight="1" x14ac:dyDescent="0.2">
      <c r="A51" s="7"/>
      <c r="B51" s="7"/>
      <c r="C51" s="7"/>
      <c r="D51" s="23"/>
      <c r="E51" s="23"/>
      <c r="F51" s="23"/>
      <c r="G51" s="23"/>
      <c r="H51" s="23"/>
      <c r="I51" s="23"/>
      <c r="J51" s="23"/>
    </row>
    <row r="52" spans="1:10" ht="21.6" customHeight="1" x14ac:dyDescent="0.2">
      <c r="A52" s="7"/>
      <c r="B52" s="7"/>
      <c r="C52" s="7"/>
      <c r="D52" s="23"/>
      <c r="E52" s="23"/>
      <c r="F52" s="23"/>
      <c r="G52" s="23"/>
      <c r="H52" s="23"/>
      <c r="I52" s="23"/>
      <c r="J52" s="23"/>
    </row>
    <row r="53" spans="1:10" ht="84.2" customHeight="1" x14ac:dyDescent="0.2">
      <c r="A53" s="7"/>
      <c r="D53" s="23"/>
      <c r="E53" s="23"/>
      <c r="F53" s="23"/>
      <c r="G53" s="23"/>
      <c r="H53" s="23"/>
      <c r="I53" s="23"/>
      <c r="J53" s="23"/>
    </row>
    <row r="54" spans="1:10" ht="14.1" customHeight="1" x14ac:dyDescent="0.2">
      <c r="A54" s="23"/>
      <c r="B54" s="23"/>
      <c r="C54" s="23"/>
      <c r="D54" s="23"/>
      <c r="E54" s="23"/>
      <c r="F54" s="23"/>
      <c r="G54" s="23"/>
      <c r="H54" s="23"/>
      <c r="I54" s="23"/>
      <c r="J54" s="23"/>
    </row>
    <row r="55" spans="1:10" ht="14.1" customHeight="1" x14ac:dyDescent="0.2">
      <c r="A55" s="23"/>
      <c r="B55" s="23"/>
      <c r="C55" s="23"/>
      <c r="D55" s="23"/>
      <c r="E55" s="23"/>
      <c r="F55" s="23"/>
      <c r="G55" s="23"/>
      <c r="H55" s="23"/>
      <c r="I55" s="23"/>
      <c r="J55" s="23"/>
    </row>
    <row r="56" spans="1:10" ht="50.85" customHeight="1" x14ac:dyDescent="0.2">
      <c r="A56" s="7"/>
      <c r="B56" s="7"/>
      <c r="C56" s="7"/>
      <c r="D56" s="7"/>
      <c r="G56" s="23"/>
      <c r="H56" s="23"/>
      <c r="I56" s="23"/>
      <c r="J56" s="23"/>
    </row>
    <row r="57" spans="1:10" ht="65.099999999999994" customHeight="1" x14ac:dyDescent="0.2">
      <c r="A57" s="7"/>
      <c r="B57" s="7"/>
      <c r="C57" s="7"/>
      <c r="G57" s="23"/>
      <c r="H57" s="23"/>
      <c r="I57" s="23"/>
      <c r="J57" s="23"/>
    </row>
    <row r="58" spans="1:10" ht="65.099999999999994" customHeight="1" x14ac:dyDescent="0.2">
      <c r="A58" s="7"/>
      <c r="B58" s="7"/>
      <c r="C58" s="7"/>
      <c r="G58" s="23"/>
      <c r="H58" s="23"/>
      <c r="I58" s="23"/>
      <c r="J58" s="23"/>
    </row>
    <row r="59" spans="1:10" ht="33.200000000000003" customHeight="1" x14ac:dyDescent="0.2">
      <c r="A59" s="7"/>
      <c r="G59" s="23"/>
      <c r="H59" s="23"/>
      <c r="I59" s="23"/>
      <c r="J59" s="23"/>
    </row>
    <row r="60" spans="1:10" ht="14.1" customHeight="1" x14ac:dyDescent="0.2">
      <c r="A60" s="23"/>
      <c r="B60" s="23"/>
      <c r="C60" s="23"/>
      <c r="D60" s="23"/>
      <c r="E60" s="23"/>
      <c r="F60" s="23"/>
      <c r="G60" s="23"/>
      <c r="H60" s="23"/>
      <c r="I60" s="23"/>
      <c r="J60" s="23"/>
    </row>
    <row r="61" spans="1:10" ht="43.35" customHeight="1" x14ac:dyDescent="0.2">
      <c r="A61" s="582"/>
      <c r="B61" s="565"/>
      <c r="C61" s="565"/>
      <c r="D61" s="565"/>
      <c r="E61" s="565"/>
      <c r="F61" s="565"/>
      <c r="G61" s="565"/>
      <c r="H61" s="565"/>
      <c r="I61" s="23"/>
      <c r="J61" s="23"/>
    </row>
    <row r="62" spans="1:10" ht="15" customHeight="1" x14ac:dyDescent="0.2"/>
  </sheetData>
  <sheetProtection algorithmName="SHA-512" hashValue="sbCYvacDr7WMOGplkQUkFGdgzr5u+C1QvUJbZknzP6DjrLfytk6gWoJ54vHtmHu2NRxZ7hVf8ZEndgFyiotAFA==" saltValue="p+P+ucJfwAJVLRHLvr0mlg==" spinCount="100000" sheet="1" objects="1" scenarios="1"/>
  <mergeCells count="14">
    <mergeCell ref="A61:H61"/>
    <mergeCell ref="P18:V18"/>
    <mergeCell ref="X18:AE18"/>
    <mergeCell ref="A1:G1"/>
    <mergeCell ref="A4:F4"/>
    <mergeCell ref="A5:F5"/>
    <mergeCell ref="AJ7:AM9"/>
    <mergeCell ref="AF12:AH13"/>
    <mergeCell ref="A6:F6"/>
    <mergeCell ref="H7:N7"/>
    <mergeCell ref="X4:X5"/>
    <mergeCell ref="AA4:AD4"/>
    <mergeCell ref="Z4:Z5"/>
    <mergeCell ref="Y4:Y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57"/>
  <sheetViews>
    <sheetView showGridLines="0" showRuler="0" workbookViewId="0">
      <selection activeCell="E21" sqref="E21"/>
    </sheetView>
  </sheetViews>
  <sheetFormatPr defaultColWidth="13.140625" defaultRowHeight="12.75" x14ac:dyDescent="0.2"/>
  <cols>
    <col min="1" max="7" width="25.140625" customWidth="1"/>
    <col min="8" max="8" width="14.42578125" customWidth="1"/>
  </cols>
  <sheetData>
    <row r="1" spans="1:8" ht="15.75" x14ac:dyDescent="0.25">
      <c r="A1" s="560" t="s">
        <v>904</v>
      </c>
      <c r="B1" s="560"/>
      <c r="C1" s="560"/>
      <c r="D1" s="560"/>
      <c r="E1" s="560"/>
      <c r="F1" s="23"/>
      <c r="G1" s="23"/>
      <c r="H1" s="23"/>
    </row>
    <row r="2" spans="1:8" x14ac:dyDescent="0.2">
      <c r="A2" s="24"/>
      <c r="B2" s="24"/>
      <c r="C2" s="24"/>
      <c r="D2" s="24"/>
      <c r="E2" s="24"/>
      <c r="F2" s="24"/>
      <c r="G2" s="24"/>
      <c r="H2" s="23"/>
    </row>
    <row r="3" spans="1:8" ht="92.45" customHeight="1" x14ac:dyDescent="0.2">
      <c r="A3" s="461" t="s">
        <v>1209</v>
      </c>
      <c r="B3" s="4" t="s">
        <v>188</v>
      </c>
      <c r="C3" s="4" t="s">
        <v>905</v>
      </c>
      <c r="D3" s="4" t="s">
        <v>906</v>
      </c>
      <c r="E3" s="4" t="s">
        <v>907</v>
      </c>
      <c r="F3" s="108" t="s">
        <v>908</v>
      </c>
      <c r="G3" s="4" t="s">
        <v>909</v>
      </c>
      <c r="H3" s="57"/>
    </row>
    <row r="4" spans="1:8" ht="21.6" customHeight="1" x14ac:dyDescent="0.2">
      <c r="A4" s="625" t="s">
        <v>154</v>
      </c>
      <c r="B4" s="212" t="s">
        <v>72</v>
      </c>
      <c r="C4" s="212"/>
      <c r="D4" s="212"/>
      <c r="E4" s="212"/>
      <c r="F4" s="212"/>
      <c r="G4" s="212"/>
      <c r="H4" s="57"/>
    </row>
    <row r="5" spans="1:8" ht="21.6" customHeight="1" x14ac:dyDescent="0.2">
      <c r="A5" s="626"/>
      <c r="B5" s="219" t="s">
        <v>41</v>
      </c>
      <c r="C5" s="225">
        <v>2019</v>
      </c>
      <c r="D5" s="218" t="s">
        <v>197</v>
      </c>
      <c r="E5" s="218" t="s">
        <v>197</v>
      </c>
      <c r="F5" s="218" t="s">
        <v>197</v>
      </c>
      <c r="G5" s="218" t="s">
        <v>197</v>
      </c>
      <c r="H5" s="57"/>
    </row>
    <row r="6" spans="1:8" ht="21.6" customHeight="1" x14ac:dyDescent="0.2">
      <c r="A6" s="622"/>
      <c r="B6" s="219" t="s">
        <v>158</v>
      </c>
      <c r="C6" s="228">
        <v>2015</v>
      </c>
      <c r="D6" s="218" t="s">
        <v>197</v>
      </c>
      <c r="E6" s="218" t="s">
        <v>197</v>
      </c>
      <c r="F6" s="218" t="s">
        <v>197</v>
      </c>
      <c r="G6" s="218" t="s">
        <v>197</v>
      </c>
      <c r="H6" s="57"/>
    </row>
    <row r="7" spans="1:8" ht="21.6" customHeight="1" x14ac:dyDescent="0.2">
      <c r="A7" s="625" t="s">
        <v>160</v>
      </c>
      <c r="B7" s="212" t="s">
        <v>79</v>
      </c>
      <c r="C7" s="314"/>
      <c r="D7" s="314"/>
      <c r="E7" s="314"/>
      <c r="F7" s="314"/>
      <c r="G7" s="314"/>
      <c r="H7" s="57"/>
    </row>
    <row r="8" spans="1:8" ht="21.6" customHeight="1" x14ac:dyDescent="0.2">
      <c r="A8" s="626"/>
      <c r="B8" s="219" t="s">
        <v>19</v>
      </c>
      <c r="C8" s="225">
        <v>2017</v>
      </c>
      <c r="D8" s="218" t="s">
        <v>197</v>
      </c>
      <c r="E8" s="218" t="s">
        <v>197</v>
      </c>
      <c r="F8" s="218" t="s">
        <v>197</v>
      </c>
      <c r="G8" s="218" t="s">
        <v>197</v>
      </c>
      <c r="H8" s="57"/>
    </row>
    <row r="9" spans="1:8" ht="21.6" customHeight="1" x14ac:dyDescent="0.2">
      <c r="A9" s="626"/>
      <c r="B9" s="212" t="s">
        <v>82</v>
      </c>
      <c r="C9" s="314"/>
      <c r="D9" s="314"/>
      <c r="E9" s="314"/>
      <c r="F9" s="314"/>
      <c r="G9" s="314"/>
      <c r="H9" s="57"/>
    </row>
    <row r="10" spans="1:8" ht="21.6" customHeight="1" x14ac:dyDescent="0.2">
      <c r="A10" s="626"/>
      <c r="B10" s="219" t="s">
        <v>163</v>
      </c>
      <c r="C10" s="225">
        <v>2010</v>
      </c>
      <c r="D10" s="218" t="s">
        <v>197</v>
      </c>
      <c r="E10" s="218" t="s">
        <v>197</v>
      </c>
      <c r="F10" s="218" t="s">
        <v>197</v>
      </c>
      <c r="G10" s="218" t="s">
        <v>197</v>
      </c>
      <c r="H10" s="57"/>
    </row>
    <row r="11" spans="1:8" ht="21.6" customHeight="1" x14ac:dyDescent="0.2">
      <c r="A11" s="626"/>
      <c r="B11" s="219" t="s">
        <v>164</v>
      </c>
      <c r="C11" s="225">
        <v>1995</v>
      </c>
      <c r="D11" s="218" t="s">
        <v>197</v>
      </c>
      <c r="E11" s="218" t="s">
        <v>197</v>
      </c>
      <c r="F11" s="218" t="s">
        <v>197</v>
      </c>
      <c r="G11" s="218" t="s">
        <v>197</v>
      </c>
      <c r="H11" s="57"/>
    </row>
    <row r="12" spans="1:8" ht="21.6" customHeight="1" x14ac:dyDescent="0.2">
      <c r="A12" s="626"/>
      <c r="B12" s="219" t="s">
        <v>29</v>
      </c>
      <c r="C12" s="225">
        <v>2018</v>
      </c>
      <c r="D12" s="218" t="s">
        <v>197</v>
      </c>
      <c r="E12" s="218" t="s">
        <v>197</v>
      </c>
      <c r="F12" s="218" t="s">
        <v>223</v>
      </c>
      <c r="G12" s="218" t="s">
        <v>197</v>
      </c>
      <c r="H12" s="57"/>
    </row>
    <row r="13" spans="1:8" ht="21.6" customHeight="1" x14ac:dyDescent="0.2">
      <c r="A13" s="626"/>
      <c r="B13" s="212" t="s">
        <v>86</v>
      </c>
      <c r="C13" s="314"/>
      <c r="D13" s="314"/>
      <c r="E13" s="314"/>
      <c r="F13" s="314"/>
      <c r="G13" s="314"/>
      <c r="H13" s="57"/>
    </row>
    <row r="14" spans="1:8" ht="21.6" customHeight="1" x14ac:dyDescent="0.2">
      <c r="A14" s="622"/>
      <c r="B14" s="219" t="s">
        <v>25</v>
      </c>
      <c r="C14" s="225">
        <v>2015</v>
      </c>
      <c r="D14" s="218" t="s">
        <v>197</v>
      </c>
      <c r="E14" s="218" t="s">
        <v>223</v>
      </c>
      <c r="F14" s="218" t="s">
        <v>223</v>
      </c>
      <c r="G14" s="218" t="s">
        <v>197</v>
      </c>
      <c r="H14" s="57"/>
    </row>
    <row r="15" spans="1:8" ht="21.6" customHeight="1" x14ac:dyDescent="0.2">
      <c r="A15" s="623" t="s">
        <v>166</v>
      </c>
      <c r="B15" s="212" t="s">
        <v>89</v>
      </c>
      <c r="C15" s="314"/>
      <c r="D15" s="314"/>
      <c r="E15" s="314"/>
      <c r="F15" s="314"/>
      <c r="G15" s="314"/>
      <c r="H15" s="57"/>
    </row>
    <row r="16" spans="1:8" ht="21.6" customHeight="1" x14ac:dyDescent="0.2">
      <c r="A16" s="623"/>
      <c r="B16" s="219" t="s">
        <v>11</v>
      </c>
      <c r="C16" s="225">
        <v>2020</v>
      </c>
      <c r="D16" s="218" t="s">
        <v>197</v>
      </c>
      <c r="E16" s="218" t="s">
        <v>197</v>
      </c>
      <c r="F16" s="218" t="s">
        <v>197</v>
      </c>
      <c r="G16" s="218" t="s">
        <v>197</v>
      </c>
      <c r="H16" s="57"/>
    </row>
    <row r="17" spans="1:8" ht="21.6" customHeight="1" x14ac:dyDescent="0.2">
      <c r="A17" s="623"/>
      <c r="B17" s="212" t="s">
        <v>94</v>
      </c>
      <c r="C17" s="314"/>
      <c r="D17" s="314"/>
      <c r="E17" s="314"/>
      <c r="F17" s="314"/>
      <c r="G17" s="314"/>
      <c r="H17" s="57"/>
    </row>
    <row r="18" spans="1:8" ht="21.6" customHeight="1" x14ac:dyDescent="0.2">
      <c r="A18" s="623"/>
      <c r="B18" s="219" t="s">
        <v>167</v>
      </c>
      <c r="C18" s="225">
        <v>2020</v>
      </c>
      <c r="D18" s="218" t="s">
        <v>197</v>
      </c>
      <c r="E18" s="218" t="s">
        <v>197</v>
      </c>
      <c r="F18" s="218" t="s">
        <v>197</v>
      </c>
      <c r="G18" s="218" t="s">
        <v>197</v>
      </c>
      <c r="H18" s="57"/>
    </row>
    <row r="19" spans="1:8" ht="21.6" customHeight="1" x14ac:dyDescent="0.2">
      <c r="A19" s="623"/>
      <c r="B19" s="212" t="s">
        <v>97</v>
      </c>
      <c r="C19" s="314"/>
      <c r="D19" s="314"/>
      <c r="E19" s="314"/>
      <c r="F19" s="314"/>
      <c r="G19" s="314"/>
      <c r="H19" s="57"/>
    </row>
    <row r="20" spans="1:8" ht="21.6" customHeight="1" x14ac:dyDescent="0.2">
      <c r="A20" s="623"/>
      <c r="B20" s="219" t="s">
        <v>20</v>
      </c>
      <c r="C20" s="225">
        <v>2014</v>
      </c>
      <c r="D20" s="218" t="s">
        <v>197</v>
      </c>
      <c r="E20" s="218" t="s">
        <v>197</v>
      </c>
      <c r="F20" s="299" t="s">
        <v>197</v>
      </c>
      <c r="G20" s="218" t="s">
        <v>197</v>
      </c>
      <c r="H20" s="57"/>
    </row>
    <row r="21" spans="1:8" ht="21.6" customHeight="1" x14ac:dyDescent="0.2">
      <c r="A21" s="625" t="s">
        <v>168</v>
      </c>
      <c r="B21" s="212" t="s">
        <v>76</v>
      </c>
      <c r="C21" s="314"/>
      <c r="D21" s="314"/>
      <c r="E21" s="314"/>
      <c r="F21" s="314"/>
      <c r="G21" s="314"/>
      <c r="H21" s="57"/>
    </row>
    <row r="22" spans="1:8" ht="21.6" customHeight="1" x14ac:dyDescent="0.2">
      <c r="A22" s="626"/>
      <c r="B22" s="219" t="s">
        <v>169</v>
      </c>
      <c r="C22" s="225">
        <v>2020</v>
      </c>
      <c r="D22" s="218" t="s">
        <v>197</v>
      </c>
      <c r="E22" s="218" t="s">
        <v>197</v>
      </c>
      <c r="F22" s="218" t="s">
        <v>197</v>
      </c>
      <c r="G22" s="218" t="s">
        <v>197</v>
      </c>
      <c r="H22" s="57"/>
    </row>
    <row r="23" spans="1:8" ht="21.6" customHeight="1" x14ac:dyDescent="0.2">
      <c r="A23" s="622"/>
      <c r="B23" s="219" t="s">
        <v>14</v>
      </c>
      <c r="C23" s="225">
        <v>2019</v>
      </c>
      <c r="D23" s="218" t="s">
        <v>197</v>
      </c>
      <c r="E23" s="218" t="s">
        <v>197</v>
      </c>
      <c r="F23" s="325" t="s">
        <v>223</v>
      </c>
      <c r="G23" s="218" t="s">
        <v>197</v>
      </c>
      <c r="H23" s="57"/>
    </row>
    <row r="24" spans="1:8" ht="55.7" customHeight="1" x14ac:dyDescent="0.2">
      <c r="A24" s="563" t="s">
        <v>910</v>
      </c>
      <c r="B24" s="563"/>
      <c r="C24" s="563"/>
      <c r="D24" s="563"/>
      <c r="E24" s="563"/>
      <c r="F24" s="563"/>
      <c r="G24" s="563"/>
      <c r="H24" s="23"/>
    </row>
    <row r="25" spans="1:8" ht="14.1" customHeight="1" x14ac:dyDescent="0.2">
      <c r="A25" s="23"/>
      <c r="B25" s="23"/>
      <c r="C25" s="23"/>
      <c r="D25" s="23"/>
      <c r="E25" s="23"/>
      <c r="F25" s="23"/>
      <c r="G25" s="23"/>
      <c r="H25" s="23"/>
    </row>
    <row r="26" spans="1:8" ht="14.1" customHeight="1" x14ac:dyDescent="0.2">
      <c r="A26" s="23"/>
      <c r="B26" s="23"/>
      <c r="C26" s="23"/>
      <c r="D26" s="23"/>
      <c r="E26" s="23"/>
      <c r="F26" s="23"/>
      <c r="G26" s="23"/>
      <c r="H26" s="23"/>
    </row>
    <row r="27" spans="1:8" ht="14.1" customHeight="1" x14ac:dyDescent="0.2">
      <c r="A27" s="30"/>
      <c r="B27" s="30"/>
      <c r="C27" s="30"/>
      <c r="D27" s="30"/>
      <c r="E27" s="30"/>
      <c r="F27" s="30"/>
      <c r="G27" s="30"/>
      <c r="H27" s="23"/>
    </row>
    <row r="28" spans="1:8" ht="14.1" customHeight="1" x14ac:dyDescent="0.2">
      <c r="A28" s="23"/>
      <c r="B28" s="23"/>
      <c r="C28" s="23"/>
      <c r="H28" s="23"/>
    </row>
    <row r="29" spans="1:8" ht="14.1" customHeight="1" x14ac:dyDescent="0.2">
      <c r="A29" s="23"/>
      <c r="B29" s="23"/>
      <c r="C29" s="23"/>
      <c r="D29" s="23"/>
      <c r="E29" s="23"/>
      <c r="F29" s="23"/>
      <c r="G29" s="23"/>
      <c r="H29" s="23"/>
    </row>
    <row r="30" spans="1:8" ht="14.1" customHeight="1" x14ac:dyDescent="0.2">
      <c r="A30" s="23"/>
      <c r="B30" s="23"/>
      <c r="C30" s="23"/>
      <c r="D30" s="23"/>
      <c r="E30" s="23"/>
      <c r="F30" s="23"/>
      <c r="G30" s="23"/>
      <c r="H30" s="23"/>
    </row>
    <row r="31" spans="1:8" ht="14.1" customHeight="1" x14ac:dyDescent="0.2">
      <c r="A31" s="23"/>
      <c r="B31" s="23"/>
      <c r="C31" s="23"/>
      <c r="D31" s="23"/>
      <c r="E31" s="23"/>
      <c r="F31" s="23"/>
      <c r="G31" s="23"/>
      <c r="H31" s="23"/>
    </row>
    <row r="32" spans="1:8" ht="14.1" customHeight="1" x14ac:dyDescent="0.2">
      <c r="A32" s="23"/>
      <c r="B32" s="23"/>
      <c r="C32" s="23"/>
      <c r="D32" s="23"/>
      <c r="E32" s="23"/>
      <c r="F32" s="23"/>
      <c r="G32" s="23"/>
      <c r="H32" s="23"/>
    </row>
    <row r="33" spans="1:8" ht="14.1" customHeight="1" x14ac:dyDescent="0.2">
      <c r="A33" s="23"/>
      <c r="B33" s="23"/>
      <c r="C33" s="23"/>
      <c r="D33" s="23"/>
      <c r="E33" s="23"/>
      <c r="F33" s="23"/>
      <c r="G33" s="23"/>
      <c r="H33" s="23"/>
    </row>
    <row r="34" spans="1:8" ht="14.1" customHeight="1" x14ac:dyDescent="0.2">
      <c r="A34" s="23"/>
      <c r="B34" s="23"/>
      <c r="C34" s="23"/>
      <c r="D34" s="23"/>
      <c r="E34" s="23"/>
      <c r="F34" s="23"/>
      <c r="G34" s="23"/>
      <c r="H34" s="23"/>
    </row>
    <row r="35" spans="1:8" ht="14.1" customHeight="1" x14ac:dyDescent="0.2">
      <c r="A35" s="23"/>
      <c r="B35" s="23"/>
      <c r="C35" s="23"/>
      <c r="D35" s="23"/>
      <c r="E35" s="23"/>
      <c r="F35" s="23"/>
      <c r="G35" s="23"/>
      <c r="H35" s="23"/>
    </row>
    <row r="36" spans="1:8" ht="14.1" customHeight="1" x14ac:dyDescent="0.2">
      <c r="A36" s="23"/>
      <c r="B36" s="23"/>
      <c r="C36" s="23"/>
      <c r="D36" s="33"/>
      <c r="E36" s="23"/>
      <c r="F36" s="23"/>
      <c r="G36" s="23"/>
      <c r="H36" s="23"/>
    </row>
    <row r="37" spans="1:8" ht="15" customHeight="1" x14ac:dyDescent="0.2"/>
    <row r="38" spans="1:8" ht="15" customHeight="1" x14ac:dyDescent="0.2"/>
    <row r="39" spans="1:8" ht="15" customHeight="1" x14ac:dyDescent="0.2"/>
    <row r="40" spans="1:8" ht="15" customHeight="1" x14ac:dyDescent="0.2"/>
    <row r="41" spans="1:8" ht="15" customHeight="1" x14ac:dyDescent="0.2"/>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sheetProtection algorithmName="SHA-512" hashValue="hmZhaI6G9yeNDDSEhtPVeh3IafaZWH1hlSEuTHpT5KAEh/2Wgksk3oQzCisr24BympP5Gp+Vf/JQXOSVU7kEuA==" saltValue="hsgOgI6ceuunfLgju1oo2w==" spinCount="100000" sheet="1" objects="1" scenarios="1"/>
  <mergeCells count="6">
    <mergeCell ref="A24:G24"/>
    <mergeCell ref="A1:E1"/>
    <mergeCell ref="A4:A6"/>
    <mergeCell ref="A7:A14"/>
    <mergeCell ref="A21:A23"/>
    <mergeCell ref="A15:A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58"/>
  <sheetViews>
    <sheetView showGridLines="0" showRuler="0" workbookViewId="0">
      <selection activeCell="F10" sqref="F10"/>
    </sheetView>
  </sheetViews>
  <sheetFormatPr defaultColWidth="13.140625" defaultRowHeight="12.75" x14ac:dyDescent="0.2"/>
  <cols>
    <col min="1" max="7" width="15.7109375" customWidth="1"/>
  </cols>
  <sheetData>
    <row r="1" spans="1:8" ht="15.75" x14ac:dyDescent="0.25">
      <c r="A1" s="560" t="s">
        <v>1277</v>
      </c>
      <c r="B1" s="718"/>
      <c r="C1" s="719"/>
      <c r="D1" s="719"/>
      <c r="E1" s="718"/>
      <c r="F1" s="23"/>
      <c r="G1" s="23"/>
    </row>
    <row r="2" spans="1:8" ht="15" customHeight="1" x14ac:dyDescent="0.2">
      <c r="A2" s="604"/>
      <c r="B2" s="613"/>
    </row>
    <row r="3" spans="1:8" x14ac:dyDescent="0.2">
      <c r="A3" s="604"/>
      <c r="B3" s="613"/>
    </row>
    <row r="4" spans="1:8" ht="15" customHeight="1" x14ac:dyDescent="0.2"/>
    <row r="5" spans="1:8" ht="65.849999999999994" customHeight="1" x14ac:dyDescent="0.2">
      <c r="A5" s="720" t="s">
        <v>1210</v>
      </c>
      <c r="B5" s="721"/>
      <c r="C5" s="4" t="s">
        <v>911</v>
      </c>
      <c r="D5" s="5" t="s">
        <v>912</v>
      </c>
      <c r="E5" s="5" t="s">
        <v>913</v>
      </c>
      <c r="F5" s="5" t="s">
        <v>914</v>
      </c>
      <c r="G5" s="5" t="s">
        <v>915</v>
      </c>
      <c r="H5" s="26"/>
    </row>
    <row r="6" spans="1:8" ht="22.5" customHeight="1" x14ac:dyDescent="0.2">
      <c r="A6" s="625" t="s">
        <v>154</v>
      </c>
      <c r="B6" s="92" t="s">
        <v>916</v>
      </c>
      <c r="C6" s="326">
        <f>C7</f>
        <v>50000</v>
      </c>
      <c r="D6" s="326">
        <f>D7</f>
        <v>0</v>
      </c>
      <c r="E6" s="326">
        <f>E7</f>
        <v>0</v>
      </c>
      <c r="F6" s="326">
        <f>F7</f>
        <v>0</v>
      </c>
      <c r="G6" s="326">
        <f>G7</f>
        <v>50000</v>
      </c>
      <c r="H6" s="26"/>
    </row>
    <row r="7" spans="1:8" ht="22.5" customHeight="1" x14ac:dyDescent="0.2">
      <c r="A7" s="626"/>
      <c r="B7" s="97" t="s">
        <v>917</v>
      </c>
      <c r="C7" s="327">
        <v>50000</v>
      </c>
      <c r="D7" s="327">
        <v>0</v>
      </c>
      <c r="E7" s="327">
        <v>0</v>
      </c>
      <c r="F7" s="327">
        <v>0</v>
      </c>
      <c r="G7" s="327">
        <f>SUM(C7:F7)</f>
        <v>50000</v>
      </c>
      <c r="H7" s="26"/>
    </row>
    <row r="8" spans="1:8" ht="22.5" customHeight="1" x14ac:dyDescent="0.2">
      <c r="A8" s="626"/>
      <c r="B8" s="92" t="s">
        <v>72</v>
      </c>
      <c r="C8" s="326">
        <f>SUM(C9:C11)</f>
        <v>2068059.74</v>
      </c>
      <c r="D8" s="326">
        <f>SUM(D9:D11)</f>
        <v>0</v>
      </c>
      <c r="E8" s="326">
        <f>SUM(E9:E11)</f>
        <v>37655.020000000004</v>
      </c>
      <c r="F8" s="326">
        <f>SUM(F9:F11)</f>
        <v>0</v>
      </c>
      <c r="G8" s="326">
        <f>SUM(G9:G11)</f>
        <v>2105714.7599999998</v>
      </c>
      <c r="H8" s="26"/>
    </row>
    <row r="9" spans="1:8" ht="22.5" customHeight="1" x14ac:dyDescent="0.2">
      <c r="A9" s="626"/>
      <c r="B9" s="97" t="s">
        <v>41</v>
      </c>
      <c r="C9" s="327">
        <v>562882.98</v>
      </c>
      <c r="D9" s="327">
        <v>0</v>
      </c>
      <c r="E9" s="327">
        <v>22403.88</v>
      </c>
      <c r="F9" s="327">
        <v>0</v>
      </c>
      <c r="G9" s="327">
        <f>SUM(C9:F9)</f>
        <v>585286.86</v>
      </c>
      <c r="H9" s="26"/>
    </row>
    <row r="10" spans="1:8" ht="22.5" customHeight="1" x14ac:dyDescent="0.2">
      <c r="A10" s="626"/>
      <c r="B10" s="97" t="s">
        <v>158</v>
      </c>
      <c r="C10" s="327">
        <v>150895.54999999999</v>
      </c>
      <c r="D10" s="327">
        <v>0</v>
      </c>
      <c r="E10" s="327">
        <v>11696.14</v>
      </c>
      <c r="F10" s="327">
        <v>0</v>
      </c>
      <c r="G10" s="327">
        <f>SUM(C10:F10)</f>
        <v>162591.69</v>
      </c>
      <c r="H10" s="26"/>
    </row>
    <row r="11" spans="1:8" ht="22.5" customHeight="1" x14ac:dyDescent="0.2">
      <c r="A11" s="622"/>
      <c r="B11" s="97" t="s">
        <v>917</v>
      </c>
      <c r="C11" s="327">
        <v>1354281.21</v>
      </c>
      <c r="D11" s="327">
        <v>0</v>
      </c>
      <c r="E11" s="327">
        <v>3555</v>
      </c>
      <c r="F11" s="327">
        <v>0</v>
      </c>
      <c r="G11" s="327">
        <f>SUM(C11:F11)</f>
        <v>1357836.21</v>
      </c>
      <c r="H11" s="26"/>
    </row>
    <row r="12" spans="1:8" ht="22.5" customHeight="1" x14ac:dyDescent="0.2">
      <c r="A12" s="623" t="s">
        <v>160</v>
      </c>
      <c r="B12" s="92" t="s">
        <v>79</v>
      </c>
      <c r="C12" s="326">
        <f>SUM(C13:C14)</f>
        <v>258780</v>
      </c>
      <c r="D12" s="326">
        <f>SUM(D13:D14)</f>
        <v>213150</v>
      </c>
      <c r="E12" s="326">
        <f>SUM(E13:E14)</f>
        <v>196500</v>
      </c>
      <c r="F12" s="326">
        <f>SUM(F13:F14)</f>
        <v>162495</v>
      </c>
      <c r="G12" s="326">
        <f>SUM(G13:G14)</f>
        <v>830925</v>
      </c>
      <c r="H12" s="26"/>
    </row>
    <row r="13" spans="1:8" ht="22.5" customHeight="1" x14ac:dyDescent="0.2">
      <c r="A13" s="623"/>
      <c r="B13" s="97" t="s">
        <v>19</v>
      </c>
      <c r="C13" s="327">
        <v>256428</v>
      </c>
      <c r="D13" s="327">
        <v>213150</v>
      </c>
      <c r="E13" s="327">
        <v>196500</v>
      </c>
      <c r="F13" s="327">
        <v>162495</v>
      </c>
      <c r="G13" s="327">
        <f>SUM(C13:F13)</f>
        <v>828573</v>
      </c>
      <c r="H13" s="26"/>
    </row>
    <row r="14" spans="1:8" ht="22.5" customHeight="1" x14ac:dyDescent="0.2">
      <c r="A14" s="623"/>
      <c r="B14" s="97" t="s">
        <v>918</v>
      </c>
      <c r="C14" s="327">
        <v>2352</v>
      </c>
      <c r="D14" s="327">
        <v>0</v>
      </c>
      <c r="E14" s="327">
        <v>0</v>
      </c>
      <c r="F14" s="327">
        <v>0</v>
      </c>
      <c r="G14" s="327">
        <f>SUM(C14:F14)</f>
        <v>2352</v>
      </c>
      <c r="H14" s="26"/>
    </row>
    <row r="15" spans="1:8" ht="22.5" customHeight="1" x14ac:dyDescent="0.2">
      <c r="A15" s="623"/>
      <c r="B15" s="92" t="s">
        <v>82</v>
      </c>
      <c r="C15" s="326">
        <f>SUM(C16:C19)</f>
        <v>574411.06000000006</v>
      </c>
      <c r="D15" s="326">
        <f>SUM(D16:D19)</f>
        <v>455522.15</v>
      </c>
      <c r="E15" s="326">
        <f>SUM(E16:E19)</f>
        <v>358762.52</v>
      </c>
      <c r="F15" s="326">
        <f>SUM(F16:F19)</f>
        <v>108200.66</v>
      </c>
      <c r="G15" s="326">
        <f>SUM(G16:G19)</f>
        <v>1496896.3900000001</v>
      </c>
      <c r="H15" s="26"/>
    </row>
    <row r="16" spans="1:8" ht="22.5" customHeight="1" x14ac:dyDescent="0.2">
      <c r="A16" s="623"/>
      <c r="B16" s="97" t="s">
        <v>163</v>
      </c>
      <c r="C16" s="327">
        <v>282598.15000000002</v>
      </c>
      <c r="D16" s="327">
        <v>94207.73</v>
      </c>
      <c r="E16" s="327">
        <v>42554.07</v>
      </c>
      <c r="F16" s="327">
        <v>84614</v>
      </c>
      <c r="G16" s="327">
        <f>SUM(C16:F16)</f>
        <v>503973.95</v>
      </c>
      <c r="H16" s="26"/>
    </row>
    <row r="17" spans="1:10" ht="22.5" customHeight="1" x14ac:dyDescent="0.2">
      <c r="A17" s="623"/>
      <c r="B17" s="97" t="s">
        <v>164</v>
      </c>
      <c r="C17" s="327">
        <v>153877.56</v>
      </c>
      <c r="D17" s="327">
        <v>153076.92000000001</v>
      </c>
      <c r="E17" s="327">
        <v>123901.45</v>
      </c>
      <c r="F17" s="327">
        <v>0</v>
      </c>
      <c r="G17" s="327">
        <f>SUM(C17:F17)</f>
        <v>430855.93</v>
      </c>
      <c r="H17" s="26"/>
    </row>
    <row r="18" spans="1:10" ht="22.5" customHeight="1" x14ac:dyDescent="0.2">
      <c r="A18" s="623"/>
      <c r="B18" s="97" t="s">
        <v>29</v>
      </c>
      <c r="C18" s="327">
        <v>121880.35</v>
      </c>
      <c r="D18" s="327">
        <v>155545.20000000001</v>
      </c>
      <c r="E18" s="327">
        <v>192307</v>
      </c>
      <c r="F18" s="327">
        <v>23586.66</v>
      </c>
      <c r="G18" s="327">
        <f>SUM(C18:F18)</f>
        <v>493319.21</v>
      </c>
      <c r="H18" s="26"/>
    </row>
    <row r="19" spans="1:10" ht="22.5" customHeight="1" x14ac:dyDescent="0.2">
      <c r="A19" s="623"/>
      <c r="B19" s="97" t="s">
        <v>919</v>
      </c>
      <c r="C19" s="327">
        <v>16055</v>
      </c>
      <c r="D19" s="327">
        <v>52692.3</v>
      </c>
      <c r="E19" s="327">
        <v>0</v>
      </c>
      <c r="F19" s="327">
        <v>0</v>
      </c>
      <c r="G19" s="327">
        <f>SUM(C19:F19)</f>
        <v>68747.3</v>
      </c>
      <c r="H19" s="26"/>
      <c r="J19" s="7"/>
    </row>
    <row r="20" spans="1:10" ht="22.5" customHeight="1" x14ac:dyDescent="0.2">
      <c r="A20" s="623"/>
      <c r="B20" s="92" t="s">
        <v>86</v>
      </c>
      <c r="C20" s="326">
        <f>C21</f>
        <v>593812.17000000004</v>
      </c>
      <c r="D20" s="326">
        <f>D21</f>
        <v>114050.31</v>
      </c>
      <c r="E20" s="326">
        <f>E21</f>
        <v>522849.14</v>
      </c>
      <c r="F20" s="326">
        <f>F21</f>
        <v>19693.560000000001</v>
      </c>
      <c r="G20" s="326">
        <f>G21</f>
        <v>1250405.1800000002</v>
      </c>
      <c r="H20" s="26"/>
    </row>
    <row r="21" spans="1:10" ht="22.5" customHeight="1" x14ac:dyDescent="0.2">
      <c r="A21" s="623"/>
      <c r="B21" s="97" t="s">
        <v>25</v>
      </c>
      <c r="C21" s="327">
        <v>593812.17000000004</v>
      </c>
      <c r="D21" s="327">
        <v>114050.31</v>
      </c>
      <c r="E21" s="327">
        <v>522849.14</v>
      </c>
      <c r="F21" s="327">
        <v>19693.560000000001</v>
      </c>
      <c r="G21" s="327">
        <f>SUM(C21:F21)</f>
        <v>1250405.1800000002</v>
      </c>
      <c r="H21" s="26"/>
    </row>
    <row r="22" spans="1:10" ht="22.5" customHeight="1" x14ac:dyDescent="0.2">
      <c r="A22" s="623" t="s">
        <v>166</v>
      </c>
      <c r="B22" s="92" t="s">
        <v>548</v>
      </c>
      <c r="C22" s="326">
        <f>SUM(C23:C24)</f>
        <v>9300</v>
      </c>
      <c r="D22" s="326">
        <f>SUM(D23:D24)</f>
        <v>32539.7</v>
      </c>
      <c r="E22" s="326">
        <f>SUM(E23:E24)</f>
        <v>0</v>
      </c>
      <c r="F22" s="326">
        <f>SUM(F23:F24)</f>
        <v>0</v>
      </c>
      <c r="G22" s="326">
        <f>SUM(G23:G24)</f>
        <v>41839.699999999997</v>
      </c>
      <c r="H22" s="26"/>
    </row>
    <row r="23" spans="1:10" ht="22.5" customHeight="1" x14ac:dyDescent="0.2">
      <c r="A23" s="623"/>
      <c r="B23" s="97" t="s">
        <v>920</v>
      </c>
      <c r="C23" s="327">
        <v>9300</v>
      </c>
      <c r="D23" s="327">
        <v>22539.7</v>
      </c>
      <c r="E23" s="327">
        <v>0</v>
      </c>
      <c r="F23" s="327">
        <v>0</v>
      </c>
      <c r="G23" s="327">
        <f>SUM(C23:F23)</f>
        <v>31839.7</v>
      </c>
      <c r="H23" s="26"/>
    </row>
    <row r="24" spans="1:10" ht="22.5" customHeight="1" x14ac:dyDescent="0.2">
      <c r="A24" s="623"/>
      <c r="B24" s="97" t="s">
        <v>921</v>
      </c>
      <c r="C24" s="327">
        <v>0</v>
      </c>
      <c r="D24" s="327">
        <v>10000</v>
      </c>
      <c r="E24" s="327">
        <v>0</v>
      </c>
      <c r="F24" s="327">
        <v>0</v>
      </c>
      <c r="G24" s="327">
        <f>SUM(C24:F24)</f>
        <v>10000</v>
      </c>
      <c r="H24" s="26"/>
    </row>
    <row r="25" spans="1:10" ht="22.5" customHeight="1" x14ac:dyDescent="0.2">
      <c r="A25" s="623"/>
      <c r="B25" s="92" t="s">
        <v>89</v>
      </c>
      <c r="C25" s="326">
        <f>C26</f>
        <v>448980.99</v>
      </c>
      <c r="D25" s="326">
        <f>D26</f>
        <v>52082.16</v>
      </c>
      <c r="E25" s="326">
        <f>E26</f>
        <v>305872.43</v>
      </c>
      <c r="F25" s="326">
        <f>F26</f>
        <v>0</v>
      </c>
      <c r="G25" s="326">
        <f>G26</f>
        <v>806935.58000000007</v>
      </c>
      <c r="H25" s="26"/>
    </row>
    <row r="26" spans="1:10" ht="22.5" customHeight="1" x14ac:dyDescent="0.2">
      <c r="A26" s="623"/>
      <c r="B26" s="97" t="s">
        <v>11</v>
      </c>
      <c r="C26" s="327">
        <v>448980.99</v>
      </c>
      <c r="D26" s="327">
        <v>52082.16</v>
      </c>
      <c r="E26" s="327">
        <v>305872.43</v>
      </c>
      <c r="F26" s="327">
        <v>0</v>
      </c>
      <c r="G26" s="327">
        <f>SUM(C26:F26)</f>
        <v>806935.58000000007</v>
      </c>
      <c r="H26" s="26"/>
    </row>
    <row r="27" spans="1:10" ht="22.5" customHeight="1" x14ac:dyDescent="0.2">
      <c r="A27" s="623"/>
      <c r="B27" s="92" t="s">
        <v>94</v>
      </c>
      <c r="C27" s="326">
        <f>C28</f>
        <v>698072.98</v>
      </c>
      <c r="D27" s="326">
        <f>D28</f>
        <v>0</v>
      </c>
      <c r="E27" s="326">
        <f>E28</f>
        <v>0</v>
      </c>
      <c r="F27" s="326">
        <f>F28</f>
        <v>0</v>
      </c>
      <c r="G27" s="326">
        <f>G28</f>
        <v>698072.98</v>
      </c>
      <c r="H27" s="26"/>
    </row>
    <row r="28" spans="1:10" ht="22.5" customHeight="1" x14ac:dyDescent="0.2">
      <c r="A28" s="623"/>
      <c r="B28" s="97" t="s">
        <v>167</v>
      </c>
      <c r="C28" s="327">
        <v>698072.98</v>
      </c>
      <c r="D28" s="327">
        <v>0</v>
      </c>
      <c r="E28" s="327">
        <v>0</v>
      </c>
      <c r="F28" s="327">
        <v>0</v>
      </c>
      <c r="G28" s="327">
        <f>SUM(C28:F28)</f>
        <v>698072.98</v>
      </c>
      <c r="H28" s="26"/>
    </row>
    <row r="29" spans="1:10" ht="22.5" customHeight="1" x14ac:dyDescent="0.2">
      <c r="A29" s="623"/>
      <c r="B29" s="92" t="s">
        <v>97</v>
      </c>
      <c r="C29" s="326">
        <f>C30</f>
        <v>1585276.47</v>
      </c>
      <c r="D29" s="326">
        <f>D30</f>
        <v>337718.05</v>
      </c>
      <c r="E29" s="326">
        <f>E30</f>
        <v>574449.23</v>
      </c>
      <c r="F29" s="326">
        <f>F30</f>
        <v>54062.78</v>
      </c>
      <c r="G29" s="326">
        <f>G30</f>
        <v>2551506.5299999998</v>
      </c>
      <c r="H29" s="26"/>
    </row>
    <row r="30" spans="1:10" ht="22.5" customHeight="1" x14ac:dyDescent="0.2">
      <c r="A30" s="623"/>
      <c r="B30" s="97" t="s">
        <v>20</v>
      </c>
      <c r="C30" s="327">
        <v>1585276.47</v>
      </c>
      <c r="D30" s="327">
        <v>337718.05</v>
      </c>
      <c r="E30" s="327">
        <v>574449.23</v>
      </c>
      <c r="F30" s="327">
        <v>54062.78</v>
      </c>
      <c r="G30" s="327">
        <f>SUM(C30:F30)</f>
        <v>2551506.5299999998</v>
      </c>
      <c r="H30" s="26"/>
    </row>
    <row r="31" spans="1:10" ht="22.5" customHeight="1" x14ac:dyDescent="0.2">
      <c r="A31" s="623" t="s">
        <v>168</v>
      </c>
      <c r="B31" s="92" t="s">
        <v>76</v>
      </c>
      <c r="C31" s="326">
        <f>SUM(C32:C33)</f>
        <v>173000</v>
      </c>
      <c r="D31" s="326">
        <f>SUM(D32:D33)</f>
        <v>401600</v>
      </c>
      <c r="E31" s="326">
        <f>SUM(E32:E33)</f>
        <v>226000</v>
      </c>
      <c r="F31" s="326">
        <f>SUM(F32:F33)</f>
        <v>54000</v>
      </c>
      <c r="G31" s="326">
        <f>SUM(G32:G33)</f>
        <v>854600</v>
      </c>
      <c r="H31" s="26"/>
    </row>
    <row r="32" spans="1:10" ht="22.5" customHeight="1" x14ac:dyDescent="0.2">
      <c r="A32" s="623"/>
      <c r="B32" s="97" t="s">
        <v>169</v>
      </c>
      <c r="C32" s="327">
        <v>173000</v>
      </c>
      <c r="D32" s="327">
        <v>154600</v>
      </c>
      <c r="E32" s="327">
        <v>0</v>
      </c>
      <c r="F32" s="327">
        <v>54000</v>
      </c>
      <c r="G32" s="327">
        <f>SUM(C32:F32)</f>
        <v>381600</v>
      </c>
      <c r="H32" s="26"/>
    </row>
    <row r="33" spans="1:8" ht="22.5" customHeight="1" x14ac:dyDescent="0.2">
      <c r="A33" s="623"/>
      <c r="B33" s="97" t="s">
        <v>14</v>
      </c>
      <c r="C33" s="327">
        <v>0</v>
      </c>
      <c r="D33" s="327">
        <v>247000</v>
      </c>
      <c r="E33" s="327">
        <v>226000</v>
      </c>
      <c r="F33" s="327">
        <v>0</v>
      </c>
      <c r="G33" s="327">
        <f>SUM(C33:F33)</f>
        <v>473000</v>
      </c>
      <c r="H33" s="26"/>
    </row>
    <row r="34" spans="1:8" ht="22.5" customHeight="1" x14ac:dyDescent="0.2">
      <c r="A34" s="42" t="s">
        <v>170</v>
      </c>
      <c r="B34" s="103" t="s">
        <v>50</v>
      </c>
      <c r="C34" s="326">
        <f>SUM(C6,C8,C12,C15,C20,C22,C25,C27,C29,C31)</f>
        <v>6459693.4099999992</v>
      </c>
      <c r="D34" s="326">
        <f>SUM(D6,D8,D12,D15,D20,D22,D25,D27,D29,D31)</f>
        <v>1606662.3699999999</v>
      </c>
      <c r="E34" s="326">
        <f>SUM(E6,E8,E12,E15,E20,E22,E25,E27,E29,E31)</f>
        <v>2222088.34</v>
      </c>
      <c r="F34" s="326">
        <f>SUM(F6,F8,F12,F15,F20,F22,F25,F27,F29,F31)</f>
        <v>398452</v>
      </c>
      <c r="G34" s="326">
        <f>SUM(G6,G8,G12,G15,G20,G22,G25,G27,G29,G31)</f>
        <v>10686896.119999999</v>
      </c>
      <c r="H34" s="26"/>
    </row>
    <row r="35" spans="1:8" ht="15" customHeight="1" x14ac:dyDescent="0.2">
      <c r="A35" s="684" t="s">
        <v>922</v>
      </c>
      <c r="B35" s="684"/>
      <c r="C35" s="612"/>
      <c r="D35" s="612"/>
      <c r="E35" s="684"/>
      <c r="F35" s="684"/>
      <c r="G35" s="684"/>
    </row>
    <row r="36" spans="1:8" ht="15" customHeight="1" x14ac:dyDescent="0.2">
      <c r="A36" s="613"/>
      <c r="B36" s="613"/>
      <c r="C36" s="613"/>
      <c r="D36" s="613"/>
      <c r="E36" s="613"/>
      <c r="F36" s="613"/>
      <c r="G36" s="613"/>
    </row>
    <row r="37" spans="1:8" ht="30" customHeight="1" x14ac:dyDescent="0.2">
      <c r="A37" s="613"/>
      <c r="B37" s="613"/>
      <c r="C37" s="613"/>
      <c r="D37" s="613"/>
      <c r="E37" s="613"/>
      <c r="F37" s="613"/>
      <c r="G37" s="613"/>
    </row>
    <row r="38" spans="1:8" ht="34.15" customHeight="1" x14ac:dyDescent="0.2">
      <c r="A38" s="7"/>
    </row>
    <row r="39" spans="1:8" ht="15" customHeight="1" x14ac:dyDescent="0.2">
      <c r="B39" s="7"/>
      <c r="C39" s="7"/>
      <c r="D39" s="7"/>
      <c r="E39" s="7"/>
      <c r="F39" s="7"/>
      <c r="G39" s="7"/>
    </row>
    <row r="40" spans="1:8" ht="15" customHeight="1" x14ac:dyDescent="0.2"/>
    <row r="41" spans="1:8" ht="15" customHeight="1" x14ac:dyDescent="0.2"/>
    <row r="42" spans="1:8" ht="15" customHeight="1" x14ac:dyDescent="0.2">
      <c r="B42" s="7"/>
    </row>
    <row r="43" spans="1:8" ht="15" customHeight="1" x14ac:dyDescent="0.2"/>
    <row r="44" spans="1:8" ht="15" customHeight="1" x14ac:dyDescent="0.2">
      <c r="C44" s="7"/>
      <c r="D44" s="7"/>
      <c r="E44" s="7"/>
      <c r="F44" s="7"/>
      <c r="G44" s="7"/>
    </row>
    <row r="45" spans="1:8" ht="27.6" customHeight="1" x14ac:dyDescent="0.2">
      <c r="B45" s="7"/>
      <c r="C45" s="7"/>
      <c r="D45" s="7"/>
      <c r="E45" s="7"/>
      <c r="F45" s="7"/>
      <c r="G45" s="7"/>
    </row>
    <row r="46" spans="1:8" ht="27.6" customHeight="1" x14ac:dyDescent="0.2">
      <c r="B46" s="7"/>
      <c r="C46" s="7"/>
      <c r="D46" s="7"/>
      <c r="E46" s="7"/>
      <c r="F46" s="7"/>
      <c r="G46" s="7"/>
    </row>
    <row r="47" spans="1:8" ht="27.6" customHeight="1" x14ac:dyDescent="0.2">
      <c r="B47" s="7"/>
      <c r="C47" s="7"/>
      <c r="D47" s="7"/>
      <c r="E47" s="7"/>
      <c r="F47" s="7"/>
      <c r="G47" s="7"/>
    </row>
    <row r="48" spans="1:8" ht="27.6" customHeight="1" x14ac:dyDescent="0.2">
      <c r="B48" s="7"/>
      <c r="C48" s="7"/>
      <c r="D48" s="7"/>
      <c r="E48" s="7"/>
      <c r="F48" s="7"/>
      <c r="G48" s="7"/>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sheetData>
  <sheetProtection algorithmName="SHA-512" hashValue="APiak79addjiCRFzc2okY7jYCW1zbqPXcyQUL70t2LWk980oLh9Cgb+Awc33LvT4YuLyN6Sj8njng+wRNdf1cw==" saltValue="8m9lVCAm7sVLZjyEMWG7Bg==" spinCount="100000" sheet="1" objects="1" scenarios="1"/>
  <mergeCells count="8">
    <mergeCell ref="A22:A30"/>
    <mergeCell ref="A31:A33"/>
    <mergeCell ref="A35:G37"/>
    <mergeCell ref="A2:B3"/>
    <mergeCell ref="A1:E1"/>
    <mergeCell ref="A5:B5"/>
    <mergeCell ref="A6:A11"/>
    <mergeCell ref="A12:A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9"/>
  <sheetViews>
    <sheetView showGridLines="0" showRuler="0" workbookViewId="0">
      <selection activeCell="D13" sqref="D13"/>
    </sheetView>
  </sheetViews>
  <sheetFormatPr defaultColWidth="13.140625" defaultRowHeight="12.75" x14ac:dyDescent="0.2"/>
  <cols>
    <col min="1" max="4" width="30.5703125" customWidth="1"/>
    <col min="5" max="5" width="25.42578125" customWidth="1"/>
    <col min="6" max="6" width="32.5703125" customWidth="1"/>
    <col min="7" max="10" width="14.42578125" customWidth="1"/>
  </cols>
  <sheetData>
    <row r="1" spans="1:10" ht="15.75" x14ac:dyDescent="0.25">
      <c r="A1" s="560" t="s">
        <v>923</v>
      </c>
      <c r="B1" s="718"/>
      <c r="C1" s="718"/>
      <c r="D1" s="718"/>
      <c r="E1" s="23"/>
      <c r="F1" s="23"/>
      <c r="G1" s="23"/>
      <c r="H1" s="23"/>
      <c r="I1" s="23"/>
      <c r="J1" s="23"/>
    </row>
    <row r="2" spans="1:10" x14ac:dyDescent="0.2">
      <c r="A2" s="2"/>
      <c r="B2" s="2"/>
      <c r="C2" s="24"/>
      <c r="D2" s="24"/>
      <c r="E2" s="24"/>
      <c r="F2" s="332"/>
      <c r="G2" s="23"/>
      <c r="H2" s="23"/>
      <c r="I2" s="23"/>
      <c r="J2" s="23"/>
    </row>
    <row r="3" spans="1:10" ht="31.7" customHeight="1" x14ac:dyDescent="0.2">
      <c r="A3" s="461" t="s">
        <v>1212</v>
      </c>
      <c r="B3" s="467" t="s">
        <v>1211</v>
      </c>
      <c r="C3" s="467" t="s">
        <v>1214</v>
      </c>
      <c r="D3" s="467" t="s">
        <v>1215</v>
      </c>
      <c r="E3" s="4" t="s">
        <v>924</v>
      </c>
      <c r="F3" s="57"/>
      <c r="G3" s="23"/>
      <c r="H3" s="23"/>
      <c r="I3" s="23"/>
      <c r="J3" s="23"/>
    </row>
    <row r="4" spans="1:10" ht="21.6" customHeight="1" x14ac:dyDescent="0.2">
      <c r="A4" s="623" t="s">
        <v>154</v>
      </c>
      <c r="B4" s="212" t="s">
        <v>72</v>
      </c>
      <c r="C4" s="328">
        <v>8.3800000000000008</v>
      </c>
      <c r="D4" s="328">
        <v>0.11</v>
      </c>
      <c r="E4" s="328">
        <v>8.49</v>
      </c>
      <c r="F4" s="57"/>
      <c r="G4" s="23"/>
      <c r="H4" s="23"/>
      <c r="I4" s="23"/>
      <c r="J4" s="23"/>
    </row>
    <row r="5" spans="1:10" ht="21.6" customHeight="1" x14ac:dyDescent="0.2">
      <c r="A5" s="623"/>
      <c r="B5" s="219" t="s">
        <v>41</v>
      </c>
      <c r="C5" s="329">
        <v>3.92</v>
      </c>
      <c r="D5" s="329">
        <v>0.1</v>
      </c>
      <c r="E5" s="329">
        <v>4.0199999999999996</v>
      </c>
      <c r="F5" s="57"/>
      <c r="G5" s="23"/>
      <c r="H5" s="23"/>
      <c r="I5" s="23"/>
      <c r="J5" s="23"/>
    </row>
    <row r="6" spans="1:10" ht="21.6" customHeight="1" x14ac:dyDescent="0.2">
      <c r="A6" s="623"/>
      <c r="B6" s="219" t="s">
        <v>158</v>
      </c>
      <c r="C6" s="329">
        <v>4.46</v>
      </c>
      <c r="D6" s="329">
        <v>0.01</v>
      </c>
      <c r="E6" s="329">
        <v>4.47</v>
      </c>
      <c r="F6" s="57"/>
      <c r="G6" s="23"/>
      <c r="H6" s="23"/>
      <c r="I6" s="23"/>
      <c r="J6" s="23"/>
    </row>
    <row r="7" spans="1:10" ht="21.6" customHeight="1" x14ac:dyDescent="0.2">
      <c r="A7" s="623" t="s">
        <v>160</v>
      </c>
      <c r="B7" s="212" t="s">
        <v>79</v>
      </c>
      <c r="C7" s="328">
        <f>C8</f>
        <v>0.18</v>
      </c>
      <c r="D7" s="328">
        <f>D8</f>
        <v>0.28999999999999998</v>
      </c>
      <c r="E7" s="328">
        <f>E8</f>
        <v>0.47</v>
      </c>
      <c r="F7" s="57"/>
      <c r="G7" s="23"/>
      <c r="H7" s="23"/>
      <c r="I7" s="23"/>
      <c r="J7" s="23"/>
    </row>
    <row r="8" spans="1:10" ht="21.6" customHeight="1" x14ac:dyDescent="0.2">
      <c r="A8" s="623"/>
      <c r="B8" s="219" t="s">
        <v>19</v>
      </c>
      <c r="C8" s="329">
        <v>0.18</v>
      </c>
      <c r="D8" s="329">
        <v>0.28999999999999998</v>
      </c>
      <c r="E8" s="329">
        <v>0.47</v>
      </c>
      <c r="F8" s="57"/>
      <c r="G8" s="23"/>
      <c r="H8" s="23"/>
      <c r="I8" s="23"/>
      <c r="J8" s="23"/>
    </row>
    <row r="9" spans="1:10" ht="21.6" customHeight="1" x14ac:dyDescent="0.2">
      <c r="A9" s="623"/>
      <c r="B9" s="212" t="s">
        <v>82</v>
      </c>
      <c r="C9" s="328">
        <f>SUM(C10:C13)</f>
        <v>0</v>
      </c>
      <c r="D9" s="328">
        <f>SUM(D10:D13)</f>
        <v>2.21</v>
      </c>
      <c r="E9" s="328">
        <f>SUM(E10:E13)</f>
        <v>2.21</v>
      </c>
      <c r="F9" s="57"/>
      <c r="G9" s="23"/>
      <c r="H9" s="23"/>
      <c r="I9" s="23"/>
      <c r="J9" s="23"/>
    </row>
    <row r="10" spans="1:10" ht="21.6" customHeight="1" x14ac:dyDescent="0.2">
      <c r="A10" s="623"/>
      <c r="B10" s="219" t="s">
        <v>163</v>
      </c>
      <c r="C10" s="330">
        <v>0</v>
      </c>
      <c r="D10" s="330">
        <v>0.38</v>
      </c>
      <c r="E10" s="329">
        <f>SUM(C10:D10)</f>
        <v>0.38</v>
      </c>
      <c r="F10" s="57"/>
      <c r="G10" s="23"/>
      <c r="H10" s="23"/>
      <c r="I10" s="23"/>
      <c r="J10" s="23"/>
    </row>
    <row r="11" spans="1:10" ht="21.6" customHeight="1" x14ac:dyDescent="0.2">
      <c r="A11" s="623"/>
      <c r="B11" s="219" t="s">
        <v>164</v>
      </c>
      <c r="C11" s="330">
        <v>0</v>
      </c>
      <c r="D11" s="330">
        <v>0.09</v>
      </c>
      <c r="E11" s="329">
        <f>SUM(C11:D11)</f>
        <v>0.09</v>
      </c>
      <c r="F11" s="57"/>
      <c r="G11" s="23"/>
      <c r="H11" s="23"/>
      <c r="I11" s="23"/>
      <c r="J11" s="23"/>
    </row>
    <row r="12" spans="1:10" ht="21.6" customHeight="1" x14ac:dyDescent="0.2">
      <c r="A12" s="623"/>
      <c r="B12" s="219" t="s">
        <v>29</v>
      </c>
      <c r="C12" s="330">
        <v>0</v>
      </c>
      <c r="D12" s="330">
        <v>0.37</v>
      </c>
      <c r="E12" s="329">
        <f>SUM(C12:D12)</f>
        <v>0.37</v>
      </c>
      <c r="F12" s="57"/>
      <c r="G12" s="23"/>
      <c r="H12" s="23"/>
      <c r="I12" s="23"/>
      <c r="J12" s="23"/>
    </row>
    <row r="13" spans="1:10" ht="21.6" customHeight="1" x14ac:dyDescent="0.2">
      <c r="A13" s="623"/>
      <c r="B13" s="219" t="s">
        <v>925</v>
      </c>
      <c r="C13" s="330">
        <v>0</v>
      </c>
      <c r="D13" s="330">
        <v>1.37</v>
      </c>
      <c r="E13" s="329">
        <f>SUM(C13:D13)</f>
        <v>1.37</v>
      </c>
      <c r="F13" s="57"/>
      <c r="G13" s="23"/>
      <c r="H13" s="23"/>
      <c r="I13" s="23"/>
      <c r="J13" s="23"/>
    </row>
    <row r="14" spans="1:10" ht="21.6" customHeight="1" x14ac:dyDescent="0.2">
      <c r="A14" s="623"/>
      <c r="B14" s="212" t="s">
        <v>86</v>
      </c>
      <c r="C14" s="328">
        <f>C15</f>
        <v>0</v>
      </c>
      <c r="D14" s="328">
        <f>D15</f>
        <v>2.1</v>
      </c>
      <c r="E14" s="328">
        <f>E15</f>
        <v>2.1</v>
      </c>
      <c r="F14" s="57"/>
      <c r="G14" s="23"/>
      <c r="H14" s="23"/>
      <c r="I14" s="23"/>
      <c r="J14" s="23"/>
    </row>
    <row r="15" spans="1:10" ht="21.6" customHeight="1" x14ac:dyDescent="0.2">
      <c r="A15" s="623"/>
      <c r="B15" s="219" t="s">
        <v>25</v>
      </c>
      <c r="C15" s="330">
        <v>0</v>
      </c>
      <c r="D15" s="330">
        <v>2.1</v>
      </c>
      <c r="E15" s="329">
        <f>SUM(C15:D15)</f>
        <v>2.1</v>
      </c>
      <c r="F15" s="57"/>
      <c r="G15" s="23"/>
      <c r="H15" s="23"/>
      <c r="I15" s="23"/>
      <c r="J15" s="23"/>
    </row>
    <row r="16" spans="1:10" ht="21.6" customHeight="1" x14ac:dyDescent="0.2">
      <c r="A16" s="623" t="s">
        <v>166</v>
      </c>
      <c r="B16" s="212" t="s">
        <v>89</v>
      </c>
      <c r="C16" s="328">
        <f>C17</f>
        <v>0.26</v>
      </c>
      <c r="D16" s="328">
        <f>D17</f>
        <v>1.33</v>
      </c>
      <c r="E16" s="328">
        <f>E17</f>
        <v>1.59</v>
      </c>
      <c r="F16" s="57"/>
      <c r="G16" s="23"/>
      <c r="H16" s="23"/>
      <c r="I16" s="23"/>
      <c r="J16" s="23"/>
    </row>
    <row r="17" spans="1:10" ht="21.6" customHeight="1" x14ac:dyDescent="0.2">
      <c r="A17" s="623"/>
      <c r="B17" s="219" t="s">
        <v>11</v>
      </c>
      <c r="C17" s="330">
        <v>0.26</v>
      </c>
      <c r="D17" s="330">
        <v>1.33</v>
      </c>
      <c r="E17" s="329">
        <f>SUM(C17:D17)</f>
        <v>1.59</v>
      </c>
      <c r="F17" s="57"/>
      <c r="G17" s="23"/>
      <c r="H17" s="23"/>
      <c r="I17" s="23"/>
      <c r="J17" s="23"/>
    </row>
    <row r="18" spans="1:10" ht="21.6" customHeight="1" x14ac:dyDescent="0.2">
      <c r="A18" s="623"/>
      <c r="B18" s="212" t="s">
        <v>94</v>
      </c>
      <c r="C18" s="328">
        <f>C19</f>
        <v>0.37</v>
      </c>
      <c r="D18" s="328">
        <f>D19</f>
        <v>0.16</v>
      </c>
      <c r="E18" s="328">
        <f>E19</f>
        <v>0.53</v>
      </c>
      <c r="F18" s="57"/>
      <c r="G18" s="23"/>
      <c r="H18" s="23"/>
      <c r="I18" s="23"/>
      <c r="J18" s="23"/>
    </row>
    <row r="19" spans="1:10" ht="21.6" customHeight="1" x14ac:dyDescent="0.2">
      <c r="A19" s="623"/>
      <c r="B19" s="219" t="s">
        <v>167</v>
      </c>
      <c r="C19" s="331">
        <v>0.37</v>
      </c>
      <c r="D19" s="331">
        <v>0.16</v>
      </c>
      <c r="E19" s="331">
        <v>0.53</v>
      </c>
      <c r="F19" s="57"/>
      <c r="G19" s="23"/>
      <c r="H19" s="23"/>
      <c r="I19" s="23"/>
      <c r="J19" s="23"/>
    </row>
    <row r="20" spans="1:10" ht="21.6" customHeight="1" x14ac:dyDescent="0.2">
      <c r="A20" s="623"/>
      <c r="B20" s="212" t="s">
        <v>97</v>
      </c>
      <c r="C20" s="328">
        <f>C21</f>
        <v>3.57</v>
      </c>
      <c r="D20" s="328">
        <f>D21</f>
        <v>0.28999999999999998</v>
      </c>
      <c r="E20" s="328">
        <f>E21</f>
        <v>3.86</v>
      </c>
      <c r="F20" s="57"/>
      <c r="G20" s="23"/>
      <c r="H20" s="23"/>
      <c r="I20" s="23"/>
      <c r="J20" s="23"/>
    </row>
    <row r="21" spans="1:10" ht="21.6" customHeight="1" x14ac:dyDescent="0.2">
      <c r="A21" s="623"/>
      <c r="B21" s="219" t="s">
        <v>20</v>
      </c>
      <c r="C21" s="331">
        <v>3.57</v>
      </c>
      <c r="D21" s="331">
        <v>0.28999999999999998</v>
      </c>
      <c r="E21" s="331">
        <v>3.86</v>
      </c>
      <c r="F21" s="57"/>
      <c r="G21" s="23"/>
      <c r="H21" s="23"/>
      <c r="I21" s="23"/>
      <c r="J21" s="23"/>
    </row>
    <row r="22" spans="1:10" ht="21.6" customHeight="1" x14ac:dyDescent="0.2">
      <c r="A22" s="625" t="s">
        <v>168</v>
      </c>
      <c r="B22" s="468" t="s">
        <v>76</v>
      </c>
      <c r="C22" s="328">
        <v>0.48</v>
      </c>
      <c r="D22" s="328">
        <v>0.76</v>
      </c>
      <c r="E22" s="328">
        <v>1.24</v>
      </c>
      <c r="F22" s="57"/>
      <c r="G22" s="23"/>
      <c r="H22" s="23"/>
      <c r="I22" s="23"/>
      <c r="J22" s="23"/>
    </row>
    <row r="23" spans="1:10" ht="22.5" customHeight="1" x14ac:dyDescent="0.2">
      <c r="A23" s="626"/>
      <c r="B23" s="219" t="s">
        <v>169</v>
      </c>
      <c r="C23" s="329">
        <v>0.2</v>
      </c>
      <c r="D23" s="329">
        <v>0.03</v>
      </c>
      <c r="E23" s="329">
        <f>SUM(C23:D23)</f>
        <v>0.23</v>
      </c>
      <c r="F23" s="57"/>
      <c r="G23" s="23"/>
      <c r="H23" s="23"/>
      <c r="I23" s="23"/>
      <c r="J23" s="23"/>
    </row>
    <row r="24" spans="1:10" ht="21.6" customHeight="1" x14ac:dyDescent="0.2">
      <c r="A24" s="626"/>
      <c r="B24" s="219" t="s">
        <v>926</v>
      </c>
      <c r="C24" s="329">
        <v>0.1</v>
      </c>
      <c r="D24" s="329">
        <v>0.67</v>
      </c>
      <c r="E24" s="329">
        <f>SUM(C24:D24)</f>
        <v>0.77</v>
      </c>
      <c r="F24" s="57"/>
      <c r="G24" s="23"/>
      <c r="H24" s="23"/>
      <c r="I24" s="23"/>
      <c r="J24" s="23"/>
    </row>
    <row r="25" spans="1:10" ht="21.6" customHeight="1" x14ac:dyDescent="0.2">
      <c r="A25" s="622"/>
      <c r="B25" s="219" t="s">
        <v>14</v>
      </c>
      <c r="C25" s="329">
        <v>0.19</v>
      </c>
      <c r="D25" s="329">
        <v>0.06</v>
      </c>
      <c r="E25" s="329">
        <v>0.24</v>
      </c>
      <c r="F25" s="57"/>
      <c r="G25" s="23"/>
      <c r="H25" s="23"/>
      <c r="I25" s="23"/>
      <c r="J25" s="23"/>
    </row>
    <row r="26" spans="1:10" ht="27.6" customHeight="1" x14ac:dyDescent="0.2">
      <c r="A26" s="42" t="s">
        <v>170</v>
      </c>
      <c r="B26" s="36" t="s">
        <v>90</v>
      </c>
      <c r="C26" s="328">
        <v>13.25</v>
      </c>
      <c r="D26" s="328">
        <v>7.25</v>
      </c>
      <c r="E26" s="328">
        <v>20.5</v>
      </c>
      <c r="F26" s="57"/>
      <c r="G26" s="23"/>
      <c r="H26" s="23"/>
      <c r="I26" s="23"/>
      <c r="J26" s="23"/>
    </row>
    <row r="27" spans="1:10" ht="15" customHeight="1" x14ac:dyDescent="0.2">
      <c r="A27" s="572" t="s">
        <v>1213</v>
      </c>
      <c r="B27" s="566"/>
      <c r="C27" s="566"/>
      <c r="D27" s="566"/>
      <c r="E27" s="566"/>
    </row>
    <row r="28" spans="1:10" ht="15" customHeight="1" x14ac:dyDescent="0.2">
      <c r="A28" s="573"/>
      <c r="B28" s="573"/>
      <c r="C28" s="573"/>
      <c r="D28" s="573"/>
      <c r="E28" s="573"/>
    </row>
    <row r="29" spans="1:10" ht="15" customHeight="1" x14ac:dyDescent="0.2">
      <c r="A29" s="573"/>
      <c r="B29" s="573"/>
      <c r="C29" s="573"/>
      <c r="D29" s="573"/>
      <c r="E29" s="573"/>
    </row>
    <row r="30" spans="1:10" ht="15" customHeight="1" x14ac:dyDescent="0.2">
      <c r="A30" s="573"/>
      <c r="B30" s="573"/>
      <c r="C30" s="573"/>
      <c r="D30" s="573"/>
      <c r="E30" s="573"/>
    </row>
    <row r="31" spans="1:10" ht="41.25" customHeight="1" x14ac:dyDescent="0.2">
      <c r="A31" s="573"/>
      <c r="B31" s="573"/>
      <c r="C31" s="573"/>
      <c r="D31" s="573"/>
      <c r="E31" s="573"/>
    </row>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sheetProtection algorithmName="SHA-512" hashValue="WrbtpOTWBoQKVwxQ8jyPqj7aLZ2mWCfSvNYiOvaNV86XXnyfRRXdzXp0l6szvVpZhaHGkezDp/eW6TKeaV/HCA==" saltValue="1DtfIqplZb7Ll8Q3xP8i6g==" spinCount="100000" sheet="1" objects="1" scenarios="1"/>
  <mergeCells count="6">
    <mergeCell ref="A27:E31"/>
    <mergeCell ref="A1:D1"/>
    <mergeCell ref="A4:A6"/>
    <mergeCell ref="A7:A15"/>
    <mergeCell ref="A16:A21"/>
    <mergeCell ref="A22:A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56"/>
  <sheetViews>
    <sheetView showGridLines="0" showRuler="0" workbookViewId="0">
      <selection activeCell="E13" sqref="E13"/>
    </sheetView>
  </sheetViews>
  <sheetFormatPr defaultColWidth="13.140625" defaultRowHeight="12.75" x14ac:dyDescent="0.2"/>
  <cols>
    <col min="1" max="8" width="23.140625" customWidth="1"/>
    <col min="9" max="9" width="6.140625" customWidth="1"/>
    <col min="10" max="11" width="18.140625" customWidth="1"/>
  </cols>
  <sheetData>
    <row r="1" spans="1:12" ht="15.75" x14ac:dyDescent="0.25">
      <c r="A1" s="560" t="s">
        <v>927</v>
      </c>
      <c r="B1" s="560"/>
      <c r="C1" s="560"/>
      <c r="D1" s="560"/>
      <c r="E1" s="23"/>
      <c r="F1" s="23"/>
      <c r="G1" s="23"/>
      <c r="H1" s="23"/>
      <c r="I1" s="23"/>
    </row>
    <row r="2" spans="1:12" x14ac:dyDescent="0.2">
      <c r="A2" s="2"/>
      <c r="B2" s="24"/>
      <c r="C2" s="24"/>
      <c r="D2" s="24"/>
      <c r="E2" s="24"/>
      <c r="F2" s="24"/>
      <c r="G2" s="24"/>
      <c r="H2" s="24"/>
      <c r="I2" s="23"/>
    </row>
    <row r="3" spans="1:12" ht="32.450000000000003" customHeight="1" x14ac:dyDescent="0.2">
      <c r="A3" s="653" t="s">
        <v>1216</v>
      </c>
      <c r="B3" s="652"/>
      <c r="C3" s="652"/>
      <c r="D3" s="652"/>
      <c r="E3" s="652"/>
      <c r="F3" s="652"/>
      <c r="G3" s="652"/>
      <c r="H3" s="652"/>
      <c r="I3" s="11"/>
      <c r="J3" s="722" t="s">
        <v>1217</v>
      </c>
      <c r="K3" s="723"/>
      <c r="L3" s="26"/>
    </row>
    <row r="4" spans="1:12" ht="30" customHeight="1" x14ac:dyDescent="0.2">
      <c r="A4" s="45" t="s">
        <v>142</v>
      </c>
      <c r="B4" s="45" t="s">
        <v>928</v>
      </c>
      <c r="C4" s="45" t="s">
        <v>929</v>
      </c>
      <c r="D4" s="45" t="s">
        <v>930</v>
      </c>
      <c r="E4" s="45" t="s">
        <v>931</v>
      </c>
      <c r="F4" s="45" t="s">
        <v>932</v>
      </c>
      <c r="G4" s="45" t="s">
        <v>933</v>
      </c>
      <c r="H4" s="45" t="s">
        <v>90</v>
      </c>
      <c r="I4" s="11"/>
      <c r="J4" s="333" t="s">
        <v>142</v>
      </c>
      <c r="K4" s="334" t="s">
        <v>934</v>
      </c>
      <c r="L4" s="26"/>
    </row>
    <row r="5" spans="1:12" ht="21.6" customHeight="1" x14ac:dyDescent="0.2">
      <c r="A5" s="335" t="s">
        <v>89</v>
      </c>
      <c r="B5" s="336">
        <v>19902706</v>
      </c>
      <c r="C5" s="336">
        <v>48392065</v>
      </c>
      <c r="D5" s="336">
        <v>45436235</v>
      </c>
      <c r="E5" s="336">
        <v>1959381</v>
      </c>
      <c r="F5" s="336">
        <v>83337701</v>
      </c>
      <c r="G5" s="336">
        <v>1592091</v>
      </c>
      <c r="H5" s="336">
        <f t="shared" ref="H5:H13" si="0">SUM(B5:G5)</f>
        <v>200620179</v>
      </c>
      <c r="I5" s="11"/>
      <c r="J5" s="335" t="s">
        <v>89</v>
      </c>
      <c r="K5" s="336">
        <v>428953412</v>
      </c>
      <c r="L5" s="26"/>
    </row>
    <row r="6" spans="1:12" ht="21.6" customHeight="1" x14ac:dyDescent="0.2">
      <c r="A6" s="335" t="s">
        <v>76</v>
      </c>
      <c r="B6" s="336">
        <v>672898839</v>
      </c>
      <c r="C6" s="336">
        <v>270493221</v>
      </c>
      <c r="D6" s="336">
        <v>369900473</v>
      </c>
      <c r="E6" s="336">
        <v>13461058</v>
      </c>
      <c r="F6" s="336">
        <v>254560671</v>
      </c>
      <c r="G6" s="336">
        <v>1242663</v>
      </c>
      <c r="H6" s="336">
        <f t="shared" si="0"/>
        <v>1582556925</v>
      </c>
      <c r="I6" s="11"/>
      <c r="J6" s="335" t="s">
        <v>76</v>
      </c>
      <c r="K6" s="336">
        <v>2258008460</v>
      </c>
      <c r="L6" s="26"/>
    </row>
    <row r="7" spans="1:12" ht="21.6" customHeight="1" x14ac:dyDescent="0.2">
      <c r="A7" s="335" t="s">
        <v>82</v>
      </c>
      <c r="B7" s="336">
        <v>422826816</v>
      </c>
      <c r="C7" s="336">
        <v>232450706</v>
      </c>
      <c r="D7" s="336">
        <v>121004803</v>
      </c>
      <c r="E7" s="336">
        <v>11496275</v>
      </c>
      <c r="F7" s="336">
        <v>17061454</v>
      </c>
      <c r="G7" s="336">
        <v>2216133</v>
      </c>
      <c r="H7" s="336">
        <f t="shared" si="0"/>
        <v>807056187</v>
      </c>
      <c r="I7" s="11"/>
      <c r="J7" s="335" t="s">
        <v>82</v>
      </c>
      <c r="K7" s="336">
        <v>1185778301</v>
      </c>
      <c r="L7" s="26"/>
    </row>
    <row r="8" spans="1:12" ht="21.6" customHeight="1" x14ac:dyDescent="0.2">
      <c r="A8" s="335" t="s">
        <v>72</v>
      </c>
      <c r="B8" s="336">
        <v>468571738</v>
      </c>
      <c r="C8" s="336">
        <v>132465925</v>
      </c>
      <c r="D8" s="336">
        <v>137411437</v>
      </c>
      <c r="E8" s="336">
        <v>2611572</v>
      </c>
      <c r="F8" s="336">
        <v>284590447</v>
      </c>
      <c r="G8" s="336">
        <v>8541115</v>
      </c>
      <c r="H8" s="336">
        <f t="shared" si="0"/>
        <v>1034192234</v>
      </c>
      <c r="I8" s="11"/>
      <c r="J8" s="335" t="s">
        <v>72</v>
      </c>
      <c r="K8" s="336">
        <v>1525698319</v>
      </c>
      <c r="L8" s="26"/>
    </row>
    <row r="9" spans="1:12" ht="21.6" customHeight="1" x14ac:dyDescent="0.2">
      <c r="A9" s="335" t="s">
        <v>86</v>
      </c>
      <c r="B9" s="336">
        <v>613928565</v>
      </c>
      <c r="C9" s="336">
        <v>142787228</v>
      </c>
      <c r="D9" s="336">
        <v>127438901</v>
      </c>
      <c r="E9" s="336">
        <v>21294309</v>
      </c>
      <c r="F9" s="336">
        <v>45450716</v>
      </c>
      <c r="G9" s="336">
        <v>2117883</v>
      </c>
      <c r="H9" s="336">
        <f t="shared" si="0"/>
        <v>953017602</v>
      </c>
      <c r="I9" s="11"/>
      <c r="J9" s="335" t="s">
        <v>86</v>
      </c>
      <c r="K9" s="336">
        <v>1886277943</v>
      </c>
      <c r="L9" s="26"/>
    </row>
    <row r="10" spans="1:12" ht="21.6" customHeight="1" x14ac:dyDescent="0.2">
      <c r="A10" s="335" t="s">
        <v>97</v>
      </c>
      <c r="B10" s="336">
        <v>292658207</v>
      </c>
      <c r="C10" s="336">
        <v>71980476</v>
      </c>
      <c r="D10" s="336">
        <v>101303375</v>
      </c>
      <c r="E10" s="336">
        <v>3156765</v>
      </c>
      <c r="F10" s="336">
        <v>56424540</v>
      </c>
      <c r="G10" s="336">
        <v>3855364</v>
      </c>
      <c r="H10" s="336">
        <f t="shared" si="0"/>
        <v>529378727</v>
      </c>
      <c r="I10" s="11"/>
      <c r="J10" s="335" t="s">
        <v>97</v>
      </c>
      <c r="K10" s="336">
        <v>620162569</v>
      </c>
      <c r="L10" s="26"/>
    </row>
    <row r="11" spans="1:12" ht="21.6" customHeight="1" x14ac:dyDescent="0.2">
      <c r="A11" s="335" t="s">
        <v>94</v>
      </c>
      <c r="B11" s="336">
        <v>196240617</v>
      </c>
      <c r="C11" s="336">
        <v>63352938</v>
      </c>
      <c r="D11" s="336">
        <v>41465477</v>
      </c>
      <c r="E11" s="337">
        <v>0</v>
      </c>
      <c r="F11" s="336">
        <v>98464793</v>
      </c>
      <c r="G11" s="336">
        <v>527432</v>
      </c>
      <c r="H11" s="336">
        <f t="shared" si="0"/>
        <v>400051257</v>
      </c>
      <c r="I11" s="11"/>
      <c r="J11" s="335" t="s">
        <v>94</v>
      </c>
      <c r="K11" s="336">
        <v>822018330</v>
      </c>
      <c r="L11" s="26"/>
    </row>
    <row r="12" spans="1:12" ht="21.6" customHeight="1" x14ac:dyDescent="0.2">
      <c r="A12" s="335" t="s">
        <v>79</v>
      </c>
      <c r="B12" s="336">
        <v>318188886</v>
      </c>
      <c r="C12" s="336">
        <v>296741171</v>
      </c>
      <c r="D12" s="336">
        <v>89585096</v>
      </c>
      <c r="E12" s="336">
        <v>1608538567</v>
      </c>
      <c r="F12" s="336">
        <v>-125755136</v>
      </c>
      <c r="G12" s="336">
        <v>472873</v>
      </c>
      <c r="H12" s="336">
        <f t="shared" si="0"/>
        <v>2187771457</v>
      </c>
      <c r="I12" s="11"/>
      <c r="J12" s="335" t="s">
        <v>79</v>
      </c>
      <c r="K12" s="336">
        <v>481730388</v>
      </c>
      <c r="L12" s="26"/>
    </row>
    <row r="13" spans="1:12" ht="21.6" customHeight="1" x14ac:dyDescent="0.2">
      <c r="A13" s="333" t="s">
        <v>90</v>
      </c>
      <c r="B13" s="338">
        <v>3005216374</v>
      </c>
      <c r="C13" s="338">
        <v>1258663731</v>
      </c>
      <c r="D13" s="338">
        <v>1033507389</v>
      </c>
      <c r="E13" s="338">
        <v>1662600000</v>
      </c>
      <c r="F13" s="338">
        <v>714135185</v>
      </c>
      <c r="G13" s="338">
        <v>20500000</v>
      </c>
      <c r="H13" s="338">
        <f t="shared" si="0"/>
        <v>7694622679</v>
      </c>
      <c r="I13" s="11"/>
      <c r="J13" s="335" t="s">
        <v>90</v>
      </c>
      <c r="K13" s="339">
        <v>9208.7000000000007</v>
      </c>
      <c r="L13" s="26"/>
    </row>
    <row r="14" spans="1:12" ht="164.1" customHeight="1" x14ac:dyDescent="0.2">
      <c r="A14" s="724" t="s">
        <v>935</v>
      </c>
      <c r="B14" s="725"/>
      <c r="C14" s="725"/>
      <c r="D14" s="725"/>
      <c r="E14" s="725"/>
      <c r="F14" s="725"/>
      <c r="G14" s="725"/>
      <c r="H14" s="725"/>
      <c r="I14" s="23"/>
      <c r="J14" s="627" t="s">
        <v>936</v>
      </c>
      <c r="K14" s="627"/>
    </row>
    <row r="15" spans="1:12" ht="66.599999999999994" customHeight="1" x14ac:dyDescent="0.2">
      <c r="A15" s="23"/>
      <c r="B15" s="23"/>
      <c r="C15" s="23"/>
      <c r="D15" s="47"/>
      <c r="E15" s="47"/>
      <c r="F15" s="23"/>
      <c r="G15" s="23"/>
      <c r="H15" s="23"/>
      <c r="I15" s="23"/>
    </row>
    <row r="16" spans="1:12" ht="49.15" customHeight="1" x14ac:dyDescent="0.2">
      <c r="A16" s="7"/>
      <c r="C16" s="23"/>
      <c r="D16" s="23"/>
      <c r="E16" s="23"/>
      <c r="F16" s="23"/>
      <c r="G16" s="23"/>
      <c r="H16" s="23"/>
      <c r="I16" s="23"/>
    </row>
    <row r="17" spans="1:9" ht="49.15" customHeight="1" x14ac:dyDescent="0.2">
      <c r="A17" s="7"/>
      <c r="B17" s="7"/>
      <c r="C17" s="23"/>
      <c r="D17" s="23"/>
      <c r="E17" s="23"/>
      <c r="F17" s="23"/>
      <c r="G17" s="23"/>
      <c r="H17" s="23"/>
      <c r="I17" s="23"/>
    </row>
    <row r="18" spans="1:9" ht="49.15" customHeight="1" x14ac:dyDescent="0.2">
      <c r="A18" s="7"/>
      <c r="B18" s="7"/>
      <c r="C18" s="23"/>
      <c r="D18" s="47"/>
      <c r="E18" s="23"/>
      <c r="F18" s="23"/>
      <c r="G18" s="23"/>
      <c r="H18" s="23"/>
      <c r="I18" s="23"/>
    </row>
    <row r="19" spans="1:9" ht="21.6" customHeight="1" x14ac:dyDescent="0.2">
      <c r="A19" s="7"/>
      <c r="B19" s="7"/>
      <c r="C19" s="23"/>
      <c r="D19" s="47"/>
      <c r="E19" s="47"/>
      <c r="F19" s="23"/>
      <c r="G19" s="23"/>
      <c r="H19" s="23"/>
      <c r="I19" s="23"/>
    </row>
    <row r="20" spans="1:9" ht="21.6" customHeight="1" x14ac:dyDescent="0.2">
      <c r="A20" s="7"/>
      <c r="B20" s="7"/>
      <c r="C20" s="23"/>
      <c r="D20" s="47"/>
      <c r="E20" s="23"/>
      <c r="F20" s="23"/>
      <c r="G20" s="23"/>
      <c r="H20" s="23"/>
      <c r="I20" s="23"/>
    </row>
    <row r="21" spans="1:9" ht="21.6" customHeight="1" x14ac:dyDescent="0.2">
      <c r="A21" s="7"/>
      <c r="B21" s="7"/>
      <c r="C21" s="23"/>
      <c r="D21" s="47"/>
      <c r="E21" s="23"/>
      <c r="F21" s="23"/>
      <c r="G21" s="23"/>
      <c r="H21" s="23"/>
      <c r="I21" s="23"/>
    </row>
    <row r="22" spans="1:9" ht="21.6" customHeight="1" x14ac:dyDescent="0.2">
      <c r="A22" s="7"/>
      <c r="B22" s="7"/>
      <c r="C22" s="23"/>
      <c r="D22" s="47"/>
      <c r="E22" s="23"/>
      <c r="F22" s="23"/>
      <c r="G22" s="23"/>
      <c r="H22" s="23"/>
      <c r="I22" s="23"/>
    </row>
    <row r="23" spans="1:9" ht="21.6" customHeight="1" x14ac:dyDescent="0.2">
      <c r="A23" s="7"/>
      <c r="B23" s="7"/>
      <c r="C23" s="23"/>
      <c r="D23" s="47"/>
      <c r="E23" s="23"/>
      <c r="F23" s="23"/>
      <c r="G23" s="23"/>
      <c r="H23" s="23"/>
      <c r="I23" s="23"/>
    </row>
    <row r="24" spans="1:9" ht="21.6" customHeight="1" x14ac:dyDescent="0.2">
      <c r="A24" s="7"/>
      <c r="B24" s="7"/>
      <c r="C24" s="23"/>
      <c r="D24" s="47"/>
      <c r="E24" s="23"/>
      <c r="F24" s="23"/>
      <c r="G24" s="23"/>
      <c r="H24" s="23"/>
      <c r="I24" s="23"/>
    </row>
    <row r="25" spans="1:9" ht="21.6" customHeight="1" x14ac:dyDescent="0.2">
      <c r="A25" s="7"/>
      <c r="B25" s="7"/>
      <c r="C25" s="23"/>
      <c r="D25" s="47"/>
      <c r="E25" s="23"/>
      <c r="F25" s="23"/>
      <c r="G25" s="23"/>
      <c r="H25" s="23"/>
      <c r="I25" s="23"/>
    </row>
    <row r="26" spans="1:9" ht="21.6" customHeight="1" x14ac:dyDescent="0.2">
      <c r="A26" s="7"/>
      <c r="B26" s="7"/>
      <c r="C26" s="23"/>
      <c r="D26" s="47"/>
      <c r="E26" s="23"/>
      <c r="F26" s="23"/>
      <c r="G26" s="23"/>
      <c r="H26" s="23"/>
      <c r="I26" s="23"/>
    </row>
    <row r="27" spans="1:9" ht="185.85" customHeight="1" x14ac:dyDescent="0.2">
      <c r="A27" s="7"/>
      <c r="C27" s="23"/>
      <c r="D27" s="23"/>
      <c r="E27" s="23"/>
      <c r="F27" s="23"/>
      <c r="G27" s="23"/>
      <c r="H27" s="23"/>
      <c r="I27" s="23"/>
    </row>
    <row r="28" spans="1:9" ht="18.2" customHeight="1" x14ac:dyDescent="0.2">
      <c r="A28" s="23"/>
      <c r="B28" s="23"/>
      <c r="C28" s="23"/>
      <c r="D28" s="33"/>
      <c r="E28" s="23"/>
      <c r="F28" s="23"/>
      <c r="G28" s="23"/>
      <c r="H28" s="23"/>
      <c r="I28" s="23"/>
    </row>
    <row r="29" spans="1:9" ht="18.2" customHeight="1" x14ac:dyDescent="0.2">
      <c r="A29" s="23"/>
      <c r="B29" s="23"/>
      <c r="C29" s="23"/>
      <c r="D29" s="23"/>
      <c r="E29" s="23"/>
      <c r="F29" s="23"/>
      <c r="G29" s="23"/>
      <c r="H29" s="23"/>
      <c r="I29" s="23"/>
    </row>
    <row r="30" spans="1:9" ht="26.65" customHeight="1" x14ac:dyDescent="0.2">
      <c r="A30" s="23"/>
      <c r="B30" s="23"/>
      <c r="C30" s="23"/>
      <c r="D30" s="23"/>
      <c r="E30" s="23"/>
      <c r="F30" s="23"/>
      <c r="G30" s="23"/>
      <c r="H30" s="23"/>
      <c r="I30" s="23"/>
    </row>
    <row r="31" spans="1:9" ht="134.1" customHeight="1" x14ac:dyDescent="0.2">
      <c r="A31" s="23"/>
      <c r="B31" s="23"/>
      <c r="C31" s="23"/>
      <c r="D31" s="23"/>
      <c r="E31" s="23"/>
      <c r="F31" s="23"/>
      <c r="G31" s="23"/>
      <c r="H31" s="23"/>
      <c r="I31" s="23"/>
    </row>
    <row r="32" spans="1:9" ht="18.2" customHeight="1" x14ac:dyDescent="0.2">
      <c r="A32" s="23"/>
      <c r="B32" s="23"/>
      <c r="C32" s="23"/>
      <c r="D32" s="23"/>
      <c r="E32" s="23"/>
      <c r="F32" s="23"/>
      <c r="G32" s="23"/>
      <c r="H32" s="23"/>
      <c r="I32" s="23"/>
    </row>
    <row r="33" spans="1:9" ht="18.2" customHeight="1" x14ac:dyDescent="0.2">
      <c r="A33" s="23"/>
      <c r="B33" s="23"/>
      <c r="C33" s="23"/>
      <c r="D33" s="23"/>
      <c r="E33" s="23"/>
      <c r="F33" s="23"/>
      <c r="G33" s="23"/>
      <c r="H33" s="23"/>
      <c r="I33" s="23"/>
    </row>
    <row r="34" spans="1:9" ht="18.2" customHeight="1" x14ac:dyDescent="0.2">
      <c r="A34" s="23"/>
      <c r="B34" s="23"/>
      <c r="C34" s="23"/>
      <c r="D34" s="23"/>
      <c r="E34" s="23"/>
      <c r="F34" s="23"/>
      <c r="G34" s="23"/>
      <c r="H34" s="23"/>
      <c r="I34" s="23"/>
    </row>
    <row r="35" spans="1:9" ht="18.2" customHeight="1" x14ac:dyDescent="0.2">
      <c r="A35" s="23"/>
      <c r="B35" s="23"/>
      <c r="C35" s="23"/>
      <c r="D35" s="23"/>
      <c r="E35" s="23"/>
      <c r="F35" s="23"/>
      <c r="G35" s="23"/>
      <c r="H35" s="23"/>
      <c r="I35" s="23"/>
    </row>
    <row r="36" spans="1:9" ht="18.2" customHeight="1" x14ac:dyDescent="0.2">
      <c r="A36" s="23"/>
      <c r="B36" s="23"/>
      <c r="C36" s="23"/>
      <c r="D36" s="23"/>
      <c r="E36" s="23"/>
      <c r="F36" s="23"/>
      <c r="G36" s="23"/>
      <c r="H36" s="23"/>
      <c r="I36" s="23"/>
    </row>
    <row r="37" spans="1:9" ht="18.2" customHeight="1" x14ac:dyDescent="0.2">
      <c r="A37" s="23"/>
      <c r="B37" s="23"/>
      <c r="C37" s="23"/>
      <c r="D37" s="23"/>
      <c r="E37" s="23"/>
      <c r="F37" s="23"/>
      <c r="G37" s="23"/>
      <c r="H37" s="23"/>
      <c r="I37" s="23"/>
    </row>
    <row r="38" spans="1:9" ht="18.2" customHeight="1" x14ac:dyDescent="0.2">
      <c r="A38" s="23"/>
      <c r="B38" s="23"/>
      <c r="C38" s="23"/>
      <c r="D38" s="23"/>
      <c r="E38" s="23"/>
      <c r="F38" s="23"/>
      <c r="G38" s="23"/>
      <c r="H38" s="23"/>
      <c r="I38" s="23"/>
    </row>
    <row r="39" spans="1:9" ht="18.2" customHeight="1" x14ac:dyDescent="0.2">
      <c r="A39" s="23"/>
      <c r="B39" s="23"/>
      <c r="C39" s="23"/>
      <c r="D39" s="23"/>
      <c r="E39" s="23"/>
      <c r="F39" s="23"/>
      <c r="G39" s="23"/>
      <c r="H39" s="23"/>
      <c r="I39" s="23"/>
    </row>
    <row r="40" spans="1:9" ht="18.2" customHeight="1" x14ac:dyDescent="0.2">
      <c r="A40" s="23"/>
      <c r="B40" s="23"/>
      <c r="C40" s="23"/>
      <c r="D40" s="23"/>
      <c r="E40" s="23"/>
      <c r="F40" s="23"/>
      <c r="G40" s="23"/>
      <c r="H40" s="23"/>
      <c r="I40" s="23"/>
    </row>
    <row r="41" spans="1:9" ht="30" customHeight="1" x14ac:dyDescent="0.2">
      <c r="A41" s="23"/>
      <c r="B41" s="23"/>
      <c r="C41" s="23"/>
      <c r="D41" s="23"/>
      <c r="E41" s="23"/>
      <c r="F41" s="23"/>
      <c r="G41" s="23"/>
      <c r="H41" s="23"/>
      <c r="I41" s="23"/>
    </row>
    <row r="42" spans="1:9" ht="18.2" customHeight="1" x14ac:dyDescent="0.2">
      <c r="A42" s="23"/>
      <c r="B42" s="23"/>
      <c r="C42" s="23"/>
      <c r="D42" s="23"/>
      <c r="E42" s="23"/>
      <c r="F42" s="23"/>
      <c r="G42" s="23"/>
      <c r="H42" s="23"/>
      <c r="I42" s="23"/>
    </row>
    <row r="43" spans="1:9" ht="18.2" customHeight="1" x14ac:dyDescent="0.2">
      <c r="A43" s="23"/>
      <c r="B43" s="23"/>
      <c r="C43" s="23"/>
      <c r="D43" s="23"/>
      <c r="E43" s="23"/>
      <c r="F43" s="23"/>
      <c r="G43" s="23"/>
      <c r="H43" s="23"/>
      <c r="I43" s="23"/>
    </row>
    <row r="44" spans="1:9" ht="18.2" customHeight="1" x14ac:dyDescent="0.2">
      <c r="A44" s="23"/>
      <c r="B44" s="23"/>
      <c r="C44" s="23"/>
      <c r="D44" s="23"/>
      <c r="E44" s="23"/>
      <c r="F44" s="23"/>
      <c r="G44" s="23"/>
      <c r="H44" s="23"/>
      <c r="I44" s="23"/>
    </row>
    <row r="45" spans="1:9" ht="18.2" customHeight="1" x14ac:dyDescent="0.2">
      <c r="A45" s="23"/>
      <c r="B45" s="23"/>
      <c r="C45" s="23"/>
      <c r="D45" s="23"/>
      <c r="E45" s="23"/>
      <c r="F45" s="23"/>
      <c r="G45" s="23"/>
      <c r="H45" s="23"/>
      <c r="I45" s="23"/>
    </row>
    <row r="46" spans="1:9" ht="18.2" customHeight="1" x14ac:dyDescent="0.2">
      <c r="A46" s="23"/>
      <c r="B46" s="23"/>
      <c r="C46" s="23"/>
      <c r="D46" s="23"/>
      <c r="E46" s="23"/>
      <c r="F46" s="23"/>
      <c r="G46" s="23"/>
      <c r="H46" s="23"/>
      <c r="I46" s="23"/>
    </row>
    <row r="47" spans="1:9" ht="18.2" customHeight="1" x14ac:dyDescent="0.2">
      <c r="A47" s="23"/>
      <c r="B47" s="23"/>
      <c r="C47" s="23"/>
      <c r="D47" s="23"/>
      <c r="E47" s="23"/>
      <c r="F47" s="23"/>
      <c r="G47" s="23"/>
      <c r="H47" s="23"/>
      <c r="I47" s="23"/>
    </row>
    <row r="48" spans="1:9" ht="18.2" customHeight="1" x14ac:dyDescent="0.2">
      <c r="A48" s="23"/>
      <c r="B48" s="23"/>
      <c r="C48" s="23"/>
      <c r="D48" s="23"/>
      <c r="E48" s="23"/>
      <c r="F48" s="23"/>
      <c r="G48" s="23"/>
      <c r="H48" s="23"/>
      <c r="I48" s="23"/>
    </row>
    <row r="49" spans="1:9" ht="18.2" customHeight="1" x14ac:dyDescent="0.2">
      <c r="A49" s="23"/>
      <c r="B49" s="23"/>
      <c r="C49" s="23"/>
      <c r="D49" s="23"/>
      <c r="E49" s="23"/>
      <c r="F49" s="23"/>
      <c r="G49" s="23"/>
      <c r="H49" s="23"/>
      <c r="I49" s="23"/>
    </row>
    <row r="50" spans="1:9" ht="18.2" customHeight="1" x14ac:dyDescent="0.2">
      <c r="A50" s="23"/>
      <c r="B50" s="23"/>
      <c r="C50" s="23"/>
      <c r="D50" s="23"/>
      <c r="E50" s="23"/>
      <c r="F50" s="23"/>
      <c r="G50" s="23"/>
      <c r="H50" s="23"/>
      <c r="I50" s="23"/>
    </row>
    <row r="51" spans="1:9" ht="18.2" customHeight="1" x14ac:dyDescent="0.2">
      <c r="A51" s="23"/>
      <c r="B51" s="23"/>
      <c r="C51" s="23"/>
      <c r="D51" s="23"/>
      <c r="E51" s="23"/>
      <c r="F51" s="23"/>
      <c r="G51" s="23"/>
      <c r="H51" s="23"/>
      <c r="I51" s="23"/>
    </row>
    <row r="52" spans="1:9" ht="18.2" customHeight="1" x14ac:dyDescent="0.2">
      <c r="A52" s="23"/>
      <c r="B52" s="23"/>
      <c r="C52" s="23"/>
      <c r="D52" s="23"/>
      <c r="E52" s="23"/>
      <c r="F52" s="23"/>
      <c r="G52" s="23"/>
      <c r="H52" s="23"/>
      <c r="I52" s="23"/>
    </row>
    <row r="53" spans="1:9" ht="18.2" customHeight="1" x14ac:dyDescent="0.2">
      <c r="A53" s="23"/>
      <c r="B53" s="23"/>
      <c r="C53" s="23"/>
      <c r="D53" s="23"/>
      <c r="E53" s="23"/>
      <c r="F53" s="23"/>
      <c r="G53" s="23"/>
      <c r="H53" s="23"/>
      <c r="I53" s="23"/>
    </row>
    <row r="54" spans="1:9" ht="18.2" customHeight="1" x14ac:dyDescent="0.2">
      <c r="A54" s="23"/>
      <c r="B54" s="23"/>
      <c r="C54" s="23"/>
      <c r="D54" s="23"/>
      <c r="E54" s="23"/>
      <c r="F54" s="23"/>
      <c r="G54" s="23"/>
      <c r="H54" s="23"/>
      <c r="I54" s="23"/>
    </row>
    <row r="55" spans="1:9" ht="18.2" customHeight="1" x14ac:dyDescent="0.2">
      <c r="A55" s="23"/>
      <c r="B55" s="23"/>
      <c r="C55" s="23"/>
      <c r="D55" s="23"/>
      <c r="E55" s="23"/>
      <c r="F55" s="23"/>
      <c r="G55" s="23"/>
      <c r="H55" s="23"/>
      <c r="I55" s="23"/>
    </row>
    <row r="56" spans="1:9" ht="52.5" customHeight="1" x14ac:dyDescent="0.2">
      <c r="A56" s="23"/>
      <c r="B56" s="23"/>
      <c r="C56" s="23"/>
      <c r="D56" s="23"/>
      <c r="E56" s="23"/>
      <c r="F56" s="23"/>
      <c r="G56" s="23"/>
      <c r="H56" s="23"/>
      <c r="I56" s="23"/>
    </row>
  </sheetData>
  <sheetProtection algorithmName="SHA-512" hashValue="hOdvcC+0Q257Dlq5YpjcKHWHb8IWxo7+rVyOpePA9io/nyErWgHqNcjPM2GsRvPdBek4LjCQBc5bdBFDRIeyng==" saltValue="81axAztIGChAMqRSh+mb3Q==" spinCount="100000" sheet="1" objects="1" scenarios="1"/>
  <mergeCells count="5">
    <mergeCell ref="A1:D1"/>
    <mergeCell ref="A3:H3"/>
    <mergeCell ref="J3:K3"/>
    <mergeCell ref="J14:K14"/>
    <mergeCell ref="A14:H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D51"/>
  <sheetViews>
    <sheetView showGridLines="0" showRuler="0" workbookViewId="0">
      <selection activeCell="E8" sqref="E8"/>
    </sheetView>
  </sheetViews>
  <sheetFormatPr defaultColWidth="13.140625" defaultRowHeight="12.75" x14ac:dyDescent="0.2"/>
  <cols>
    <col min="1" max="1" width="46.85546875" customWidth="1"/>
    <col min="2" max="2" width="17.5703125" customWidth="1"/>
    <col min="3" max="3" width="7.28515625" customWidth="1"/>
    <col min="4" max="11" width="23.5703125" customWidth="1"/>
    <col min="13" max="13" width="41.28515625" customWidth="1"/>
    <col min="23" max="23" width="21.7109375" customWidth="1"/>
    <col min="24" max="24" width="19.85546875" customWidth="1"/>
  </cols>
  <sheetData>
    <row r="1" spans="1:30" ht="15.75" x14ac:dyDescent="0.25">
      <c r="A1" s="457" t="s">
        <v>937</v>
      </c>
      <c r="H1" s="23"/>
      <c r="I1" s="23"/>
      <c r="J1" s="23"/>
    </row>
    <row r="2" spans="1:30" x14ac:dyDescent="0.2">
      <c r="A2" s="2"/>
      <c r="B2" s="24"/>
      <c r="C2" s="23"/>
      <c r="D2" s="24"/>
      <c r="E2" s="24"/>
      <c r="F2" s="24"/>
      <c r="G2" s="24"/>
      <c r="H2" s="24"/>
      <c r="I2" s="24"/>
      <c r="J2" s="24"/>
    </row>
    <row r="3" spans="1:30" ht="42.6" customHeight="1" x14ac:dyDescent="0.2">
      <c r="A3" s="576" t="s">
        <v>1218</v>
      </c>
      <c r="B3" s="726"/>
      <c r="C3" s="361"/>
      <c r="D3" s="458" t="s">
        <v>1220</v>
      </c>
      <c r="E3" s="5" t="s">
        <v>938</v>
      </c>
      <c r="F3" s="5" t="s">
        <v>939</v>
      </c>
      <c r="G3" s="5" t="s">
        <v>940</v>
      </c>
      <c r="H3" s="5" t="s">
        <v>941</v>
      </c>
      <c r="I3" s="5" t="s">
        <v>942</v>
      </c>
      <c r="J3" s="5" t="s">
        <v>943</v>
      </c>
      <c r="K3" s="5" t="s">
        <v>944</v>
      </c>
      <c r="L3" s="55"/>
      <c r="M3" s="340" t="s">
        <v>945</v>
      </c>
      <c r="N3" s="727">
        <v>2017</v>
      </c>
      <c r="O3" s="728"/>
      <c r="P3" s="727">
        <v>2018</v>
      </c>
      <c r="Q3" s="728"/>
      <c r="R3" s="727">
        <v>2019</v>
      </c>
      <c r="S3" s="728"/>
      <c r="T3" s="727">
        <v>2020</v>
      </c>
      <c r="U3" s="728"/>
      <c r="V3" s="55"/>
      <c r="W3" s="341" t="s">
        <v>946</v>
      </c>
      <c r="X3" s="341" t="s">
        <v>188</v>
      </c>
      <c r="Y3" s="75" t="s">
        <v>947</v>
      </c>
      <c r="Z3" s="75" t="s">
        <v>948</v>
      </c>
      <c r="AA3" s="75" t="s">
        <v>949</v>
      </c>
      <c r="AB3" s="75" t="s">
        <v>950</v>
      </c>
      <c r="AC3" s="75" t="s">
        <v>951</v>
      </c>
      <c r="AD3" s="26"/>
    </row>
    <row r="4" spans="1:30" ht="22.5" customHeight="1" x14ac:dyDescent="0.2">
      <c r="A4" s="441" t="s">
        <v>1219</v>
      </c>
      <c r="B4" s="250">
        <v>11352</v>
      </c>
      <c r="C4" s="291"/>
      <c r="D4" s="40" t="s">
        <v>952</v>
      </c>
      <c r="E4" s="342">
        <v>708871754.06287205</v>
      </c>
      <c r="F4" s="342">
        <v>24259795.273260999</v>
      </c>
      <c r="G4" s="343">
        <v>3.4223108953371099E-2</v>
      </c>
      <c r="H4" s="342">
        <v>534864344.99375999</v>
      </c>
      <c r="I4" s="343">
        <v>0.75452906950827803</v>
      </c>
      <c r="J4" s="342">
        <v>559124140.26702094</v>
      </c>
      <c r="K4" s="344">
        <v>0.78875217846164902</v>
      </c>
      <c r="L4" s="55"/>
      <c r="M4" s="345" t="s">
        <v>953</v>
      </c>
      <c r="N4" s="346" t="s">
        <v>954</v>
      </c>
      <c r="O4" s="346" t="s">
        <v>955</v>
      </c>
      <c r="P4" s="346" t="s">
        <v>954</v>
      </c>
      <c r="Q4" s="346" t="s">
        <v>955</v>
      </c>
      <c r="R4" s="346" t="s">
        <v>954</v>
      </c>
      <c r="S4" s="346" t="s">
        <v>955</v>
      </c>
      <c r="T4" s="346" t="s">
        <v>954</v>
      </c>
      <c r="U4" s="346" t="s">
        <v>955</v>
      </c>
      <c r="V4" s="55"/>
      <c r="W4" s="729" t="s">
        <v>154</v>
      </c>
      <c r="X4" s="347" t="s">
        <v>72</v>
      </c>
      <c r="Y4" s="348">
        <f>SUM(Y5:Y6)</f>
        <v>708871754.06287098</v>
      </c>
      <c r="Z4" s="348">
        <f>SUM(Z5:Z6)</f>
        <v>16340364.267647002</v>
      </c>
      <c r="AA4" s="348">
        <f>SUM(AA5:AA6)</f>
        <v>7919431.0056139901</v>
      </c>
      <c r="AB4" s="348">
        <f>SUM(AB5:AB6)</f>
        <v>534864344.99375999</v>
      </c>
      <c r="AC4" s="348">
        <f>SUM(AC5:AC6)</f>
        <v>149747613.79585069</v>
      </c>
      <c r="AD4" s="26"/>
    </row>
    <row r="5" spans="1:30" ht="22.5" customHeight="1" x14ac:dyDescent="0.2">
      <c r="A5" s="563" t="s">
        <v>956</v>
      </c>
      <c r="B5" s="21"/>
      <c r="C5" s="293"/>
      <c r="D5" s="40" t="s">
        <v>957</v>
      </c>
      <c r="E5" s="342">
        <v>1244571474.5932701</v>
      </c>
      <c r="F5" s="342">
        <v>475508124.60533202</v>
      </c>
      <c r="G5" s="343">
        <v>0.38206574255667403</v>
      </c>
      <c r="H5" s="342">
        <v>707211420.21113598</v>
      </c>
      <c r="I5" s="343">
        <v>0.56823688687084395</v>
      </c>
      <c r="J5" s="342">
        <v>1182719544.8164699</v>
      </c>
      <c r="K5" s="344">
        <v>0.95030262942751698</v>
      </c>
      <c r="L5" s="55"/>
      <c r="M5" s="349" t="s">
        <v>578</v>
      </c>
      <c r="N5" s="350">
        <v>10</v>
      </c>
      <c r="O5" s="350">
        <v>16.8</v>
      </c>
      <c r="P5" s="350">
        <v>14</v>
      </c>
      <c r="Q5" s="350">
        <v>21.6</v>
      </c>
      <c r="R5" s="350">
        <v>22</v>
      </c>
      <c r="S5" s="350">
        <v>25.3</v>
      </c>
      <c r="T5" s="350">
        <v>22</v>
      </c>
      <c r="U5" s="350">
        <v>24.259795273260998</v>
      </c>
      <c r="V5" s="55"/>
      <c r="W5" s="730"/>
      <c r="X5" s="351" t="s">
        <v>41</v>
      </c>
      <c r="Y5" s="352">
        <v>396227550.13080102</v>
      </c>
      <c r="Z5" s="352">
        <v>11914611.996222001</v>
      </c>
      <c r="AA5" s="352">
        <v>6200742.47129599</v>
      </c>
      <c r="AB5" s="352">
        <v>357995982.43146503</v>
      </c>
      <c r="AC5" s="352">
        <v>20116213.231818698</v>
      </c>
      <c r="AD5" s="26"/>
    </row>
    <row r="6" spans="1:30" ht="22.5" customHeight="1" x14ac:dyDescent="0.2">
      <c r="A6" s="564"/>
      <c r="B6" s="23"/>
      <c r="C6" s="16"/>
      <c r="D6" s="40" t="s">
        <v>958</v>
      </c>
      <c r="E6" s="342">
        <v>1474791289.1700001</v>
      </c>
      <c r="F6" s="342">
        <v>314789990.96935397</v>
      </c>
      <c r="G6" s="343">
        <v>0.21344714555950201</v>
      </c>
      <c r="H6" s="342">
        <v>1155878604.3206401</v>
      </c>
      <c r="I6" s="343">
        <v>0.78375741219027995</v>
      </c>
      <c r="J6" s="342">
        <v>1470668595.29</v>
      </c>
      <c r="K6" s="344">
        <v>0.99720455774978101</v>
      </c>
      <c r="L6" s="55"/>
      <c r="M6" s="349" t="s">
        <v>76</v>
      </c>
      <c r="N6" s="350">
        <v>96</v>
      </c>
      <c r="O6" s="350">
        <v>197.9</v>
      </c>
      <c r="P6" s="350">
        <v>160</v>
      </c>
      <c r="Q6" s="350">
        <v>357.7</v>
      </c>
      <c r="R6" s="350">
        <v>273</v>
      </c>
      <c r="S6" s="350">
        <v>429.1</v>
      </c>
      <c r="T6" s="350">
        <v>390</v>
      </c>
      <c r="U6" s="350">
        <v>475.508124605332</v>
      </c>
      <c r="V6" s="55"/>
      <c r="W6" s="731"/>
      <c r="X6" s="351" t="s">
        <v>158</v>
      </c>
      <c r="Y6" s="352">
        <v>312644203.93207002</v>
      </c>
      <c r="Z6" s="352">
        <v>4425752.2714250004</v>
      </c>
      <c r="AA6" s="352">
        <v>1718688.5343180001</v>
      </c>
      <c r="AB6" s="352">
        <v>176868362.56229499</v>
      </c>
      <c r="AC6" s="352">
        <v>129631400.564032</v>
      </c>
      <c r="AD6" s="26"/>
    </row>
    <row r="7" spans="1:30" ht="22.5" customHeight="1" x14ac:dyDescent="0.2">
      <c r="A7" s="7"/>
      <c r="C7" s="85"/>
      <c r="D7" s="40" t="s">
        <v>959</v>
      </c>
      <c r="E7" s="342">
        <v>852063815.31345403</v>
      </c>
      <c r="F7" s="342">
        <v>305430537.212349</v>
      </c>
      <c r="G7" s="343">
        <v>0.35845969717654202</v>
      </c>
      <c r="H7" s="342">
        <v>421123851.98142099</v>
      </c>
      <c r="I7" s="343">
        <v>0.494239802715363</v>
      </c>
      <c r="J7" s="342">
        <v>726554389.193771</v>
      </c>
      <c r="K7" s="344">
        <v>0.85269949989190497</v>
      </c>
      <c r="L7" s="55"/>
      <c r="M7" s="349" t="s">
        <v>579</v>
      </c>
      <c r="N7" s="350">
        <v>220</v>
      </c>
      <c r="O7" s="350">
        <v>358.3</v>
      </c>
      <c r="P7" s="350">
        <v>368</v>
      </c>
      <c r="Q7" s="350">
        <v>439.1</v>
      </c>
      <c r="R7" s="350">
        <v>385</v>
      </c>
      <c r="S7" s="350">
        <v>247.4</v>
      </c>
      <c r="T7" s="350">
        <v>100</v>
      </c>
      <c r="U7" s="350">
        <v>82.882400500006796</v>
      </c>
      <c r="V7" s="55"/>
      <c r="W7" s="729" t="s">
        <v>160</v>
      </c>
      <c r="X7" s="347" t="s">
        <v>79</v>
      </c>
      <c r="Y7" s="348">
        <f>Y8</f>
        <v>195762894.250007</v>
      </c>
      <c r="Z7" s="348">
        <f>Z8</f>
        <v>19837297.039999802</v>
      </c>
      <c r="AA7" s="348">
        <f>AA8</f>
        <v>63045103.460006997</v>
      </c>
      <c r="AB7" s="348">
        <f>AB8</f>
        <v>111070194</v>
      </c>
      <c r="AC7" s="348">
        <f>AC8</f>
        <v>1810299.75</v>
      </c>
      <c r="AD7" s="26"/>
    </row>
    <row r="8" spans="1:30" ht="22.5" customHeight="1" x14ac:dyDescent="0.2">
      <c r="A8" s="7"/>
      <c r="C8" s="85"/>
      <c r="D8" s="54" t="s">
        <v>90</v>
      </c>
      <c r="E8" s="353">
        <v>4280298333.1395898</v>
      </c>
      <c r="F8" s="353">
        <v>1119988448.0603001</v>
      </c>
      <c r="G8" s="354">
        <v>0.26166130509851299</v>
      </c>
      <c r="H8" s="353">
        <v>2819078221.5069599</v>
      </c>
      <c r="I8" s="354">
        <v>0.65861722760786401</v>
      </c>
      <c r="J8" s="353">
        <v>3939066669.5672598</v>
      </c>
      <c r="K8" s="355">
        <v>0.92027853270637705</v>
      </c>
      <c r="L8" s="55"/>
      <c r="M8" s="349" t="s">
        <v>580</v>
      </c>
      <c r="N8" s="350">
        <v>80</v>
      </c>
      <c r="O8" s="350">
        <v>85.6</v>
      </c>
      <c r="P8" s="350">
        <v>279</v>
      </c>
      <c r="Q8" s="350">
        <v>284.60000000000002</v>
      </c>
      <c r="R8" s="350">
        <v>320</v>
      </c>
      <c r="S8" s="350">
        <v>351.5</v>
      </c>
      <c r="T8" s="350">
        <v>326</v>
      </c>
      <c r="U8" s="350">
        <v>263.49377506234902</v>
      </c>
      <c r="V8" s="55"/>
      <c r="W8" s="730"/>
      <c r="X8" s="351" t="s">
        <v>19</v>
      </c>
      <c r="Y8" s="352">
        <v>195762894.250007</v>
      </c>
      <c r="Z8" s="352">
        <v>19837297.039999802</v>
      </c>
      <c r="AA8" s="352">
        <v>63045103.460006997</v>
      </c>
      <c r="AB8" s="352">
        <v>111070194</v>
      </c>
      <c r="AC8" s="352">
        <v>1810299.75</v>
      </c>
      <c r="AD8" s="26"/>
    </row>
    <row r="9" spans="1:30" ht="54.2" customHeight="1" x14ac:dyDescent="0.2">
      <c r="A9" s="7"/>
      <c r="C9" s="7"/>
      <c r="D9" s="563" t="s">
        <v>960</v>
      </c>
      <c r="E9" s="563"/>
      <c r="F9" s="563"/>
      <c r="G9" s="563"/>
      <c r="H9" s="563"/>
      <c r="I9" s="563"/>
      <c r="J9" s="563"/>
      <c r="K9" s="563"/>
      <c r="M9" s="75" t="s">
        <v>90</v>
      </c>
      <c r="N9" s="356">
        <v>406</v>
      </c>
      <c r="O9" s="356">
        <v>658.5</v>
      </c>
      <c r="P9" s="356">
        <v>821</v>
      </c>
      <c r="Q9" s="356">
        <v>1103</v>
      </c>
      <c r="R9" s="356">
        <v>1000</v>
      </c>
      <c r="S9" s="356">
        <v>1053.2</v>
      </c>
      <c r="T9" s="356">
        <v>838</v>
      </c>
      <c r="U9" s="356">
        <v>846.14409544094997</v>
      </c>
      <c r="V9" s="55"/>
      <c r="W9" s="730"/>
      <c r="X9" s="347" t="s">
        <v>82</v>
      </c>
      <c r="Y9" s="348">
        <f>SUM(Y10:Y12)</f>
        <v>500258348.349998</v>
      </c>
      <c r="Z9" s="348">
        <f>SUM(Z10:Z12)</f>
        <v>91461860.870000198</v>
      </c>
      <c r="AA9" s="348">
        <f>SUM(AA10:AA12)</f>
        <v>115826028.5899999</v>
      </c>
      <c r="AB9" s="348">
        <f>SUM(AB10:AB12)</f>
        <v>290658064.7599985</v>
      </c>
      <c r="AC9" s="348">
        <f>SUM(AC10:AC12)</f>
        <v>2312394.13</v>
      </c>
      <c r="AD9" s="26"/>
    </row>
    <row r="10" spans="1:30" ht="54.2" customHeight="1" x14ac:dyDescent="0.2">
      <c r="A10" s="7"/>
      <c r="C10" s="7"/>
      <c r="D10" s="564"/>
      <c r="E10" s="564"/>
      <c r="F10" s="564"/>
      <c r="G10" s="564"/>
      <c r="H10" s="564"/>
      <c r="I10" s="564"/>
      <c r="J10" s="564"/>
      <c r="K10" s="564"/>
      <c r="M10" s="684" t="s">
        <v>961</v>
      </c>
      <c r="N10" s="684"/>
      <c r="O10" s="684"/>
      <c r="P10" s="684"/>
      <c r="Q10" s="684"/>
      <c r="R10" s="684"/>
      <c r="S10" s="684"/>
      <c r="T10" s="684"/>
      <c r="U10" s="684"/>
      <c r="W10" s="730"/>
      <c r="X10" s="351" t="s">
        <v>163</v>
      </c>
      <c r="Y10" s="352">
        <v>156015675.269999</v>
      </c>
      <c r="Z10" s="352">
        <v>21503096.030000001</v>
      </c>
      <c r="AA10" s="352">
        <v>17964305.09</v>
      </c>
      <c r="AB10" s="352">
        <v>115586906.67999899</v>
      </c>
      <c r="AC10" s="352">
        <v>961367.47</v>
      </c>
      <c r="AD10" s="26"/>
    </row>
    <row r="11" spans="1:30" ht="20.25" customHeight="1" x14ac:dyDescent="0.2">
      <c r="A11" s="7"/>
      <c r="C11" s="7"/>
      <c r="D11" s="564"/>
      <c r="E11" s="564"/>
      <c r="F11" s="564"/>
      <c r="G11" s="564"/>
      <c r="H11" s="564"/>
      <c r="I11" s="564"/>
      <c r="J11" s="564"/>
      <c r="K11" s="564"/>
      <c r="M11" s="686"/>
      <c r="N11" s="686"/>
      <c r="O11" s="686"/>
      <c r="P11" s="686"/>
      <c r="Q11" s="686"/>
      <c r="R11" s="686"/>
      <c r="S11" s="686"/>
      <c r="T11" s="686"/>
      <c r="U11" s="613"/>
      <c r="W11" s="730"/>
      <c r="X11" s="351" t="s">
        <v>164</v>
      </c>
      <c r="Y11" s="352">
        <v>122786087.41</v>
      </c>
      <c r="Z11" s="352">
        <v>14188136.01</v>
      </c>
      <c r="AA11" s="352">
        <v>26080189.379999999</v>
      </c>
      <c r="AB11" s="352">
        <v>82287099.7900002</v>
      </c>
      <c r="AC11" s="352">
        <v>230662.23</v>
      </c>
      <c r="AD11" s="26"/>
    </row>
    <row r="12" spans="1:30" ht="54" hidden="1" customHeight="1" x14ac:dyDescent="0.2">
      <c r="A12" s="7"/>
      <c r="C12" s="7"/>
      <c r="D12" s="564"/>
      <c r="E12" s="564"/>
      <c r="F12" s="564"/>
      <c r="G12" s="564"/>
      <c r="H12" s="564"/>
      <c r="I12" s="564"/>
      <c r="J12" s="564"/>
      <c r="K12" s="564"/>
      <c r="M12" s="686"/>
      <c r="N12" s="686"/>
      <c r="O12" s="686"/>
      <c r="P12" s="686"/>
      <c r="Q12" s="686"/>
      <c r="R12" s="686"/>
      <c r="S12" s="686"/>
      <c r="T12" s="686"/>
      <c r="U12" s="613"/>
      <c r="W12" s="730"/>
      <c r="X12" s="351" t="s">
        <v>29</v>
      </c>
      <c r="Y12" s="352">
        <v>221456585.669999</v>
      </c>
      <c r="Z12" s="352">
        <v>55770628.830000199</v>
      </c>
      <c r="AA12" s="352">
        <v>71781534.1199999</v>
      </c>
      <c r="AB12" s="352">
        <v>92784058.289999306</v>
      </c>
      <c r="AC12" s="352">
        <v>1120364.43</v>
      </c>
      <c r="AD12" s="26"/>
    </row>
    <row r="13" spans="1:30" ht="22.5" customHeight="1" x14ac:dyDescent="0.2">
      <c r="A13" s="7"/>
      <c r="J13" s="23"/>
      <c r="W13" s="730"/>
      <c r="X13" s="347" t="s">
        <v>86</v>
      </c>
      <c r="Y13" s="348">
        <f>Y14</f>
        <v>778770046.56999099</v>
      </c>
      <c r="Z13" s="348">
        <f>Z14</f>
        <v>4848795.2198378602</v>
      </c>
      <c r="AA13" s="348">
        <f>AA14</f>
        <v>19770905.789508801</v>
      </c>
      <c r="AB13" s="348">
        <f>AB14</f>
        <v>754150345.56064403</v>
      </c>
      <c r="AC13" s="348">
        <f>AC14</f>
        <v>0</v>
      </c>
      <c r="AD13" s="26"/>
    </row>
    <row r="14" spans="1:30" ht="22.5" customHeight="1" x14ac:dyDescent="0.2">
      <c r="A14" s="23"/>
      <c r="B14" s="23"/>
      <c r="C14" s="23"/>
      <c r="D14" s="23"/>
      <c r="J14" s="23"/>
      <c r="W14" s="731"/>
      <c r="X14" s="351" t="s">
        <v>25</v>
      </c>
      <c r="Y14" s="352">
        <v>778770046.56999099</v>
      </c>
      <c r="Z14" s="352">
        <v>4848795.2198378602</v>
      </c>
      <c r="AA14" s="352">
        <v>19770905.789508801</v>
      </c>
      <c r="AB14" s="352">
        <v>754150345.56064403</v>
      </c>
      <c r="AC14" s="352">
        <v>0</v>
      </c>
      <c r="AD14" s="26"/>
    </row>
    <row r="15" spans="1:30" ht="22.5" customHeight="1" x14ac:dyDescent="0.2">
      <c r="A15" s="23"/>
      <c r="B15" s="23"/>
      <c r="C15" s="23"/>
      <c r="D15" s="23"/>
      <c r="E15" s="23"/>
      <c r="F15" s="23"/>
      <c r="G15" s="23"/>
      <c r="H15" s="23"/>
      <c r="I15" s="23"/>
      <c r="J15" s="23"/>
      <c r="W15" s="729" t="s">
        <v>166</v>
      </c>
      <c r="X15" s="347" t="s">
        <v>89</v>
      </c>
      <c r="Y15" s="348">
        <f>Y16</f>
        <v>166200128.90000001</v>
      </c>
      <c r="Z15" s="348">
        <f>Z16</f>
        <v>20924693.010000002</v>
      </c>
      <c r="AA15" s="348">
        <f>AA16</f>
        <v>21012069.140000001</v>
      </c>
      <c r="AB15" s="348">
        <f>AB16</f>
        <v>121054138.5</v>
      </c>
      <c r="AC15" s="348">
        <f>AC16</f>
        <v>3209228.25</v>
      </c>
      <c r="AD15" s="26"/>
    </row>
    <row r="16" spans="1:30" ht="22.5" customHeight="1" x14ac:dyDescent="0.2">
      <c r="A16" s="23"/>
      <c r="B16" s="23"/>
      <c r="C16" s="23"/>
      <c r="D16" s="23"/>
      <c r="E16" s="23"/>
      <c r="F16" s="23"/>
      <c r="G16" s="23"/>
      <c r="H16" s="23"/>
      <c r="I16" s="23"/>
      <c r="J16" s="23"/>
      <c r="W16" s="730"/>
      <c r="X16" s="351" t="s">
        <v>11</v>
      </c>
      <c r="Y16" s="352">
        <v>166200128.90000001</v>
      </c>
      <c r="Z16" s="352">
        <v>20924693.010000002</v>
      </c>
      <c r="AA16" s="352">
        <v>21012069.140000001</v>
      </c>
      <c r="AB16" s="352">
        <v>121054138.5</v>
      </c>
      <c r="AC16" s="352">
        <v>3209228.25</v>
      </c>
      <c r="AD16" s="26"/>
    </row>
    <row r="17" spans="1:30" ht="22.5" customHeight="1" x14ac:dyDescent="0.2">
      <c r="A17" s="23"/>
      <c r="B17" s="23"/>
      <c r="C17" s="23"/>
      <c r="D17" s="23"/>
      <c r="E17" s="23"/>
      <c r="F17" s="23"/>
      <c r="G17" s="23"/>
      <c r="H17" s="23"/>
      <c r="I17" s="23"/>
      <c r="J17" s="23"/>
      <c r="W17" s="730"/>
      <c r="X17" s="347" t="s">
        <v>94</v>
      </c>
      <c r="Y17" s="348">
        <f>Y18</f>
        <v>258259789.39225799</v>
      </c>
      <c r="Z17" s="348">
        <f>Z18</f>
        <v>341891.77053899999</v>
      </c>
      <c r="AA17" s="348">
        <f>AA18</f>
        <v>848527.532167</v>
      </c>
      <c r="AB17" s="348">
        <f>AB18</f>
        <v>163568212.45070201</v>
      </c>
      <c r="AC17" s="348">
        <f>AC18</f>
        <v>93501157.638849497</v>
      </c>
      <c r="AD17" s="26"/>
    </row>
    <row r="18" spans="1:30" ht="22.5" customHeight="1" x14ac:dyDescent="0.2">
      <c r="A18" s="23"/>
      <c r="B18" s="23"/>
      <c r="C18" s="23"/>
      <c r="D18" s="23"/>
      <c r="E18" s="23"/>
      <c r="F18" s="23"/>
      <c r="G18" s="23"/>
      <c r="H18" s="23"/>
      <c r="I18" s="23"/>
      <c r="J18" s="23"/>
      <c r="W18" s="730"/>
      <c r="X18" s="351" t="s">
        <v>167</v>
      </c>
      <c r="Y18" s="352">
        <v>258259789.39225799</v>
      </c>
      <c r="Z18" s="352">
        <v>341891.77053899999</v>
      </c>
      <c r="AA18" s="352">
        <v>848527.532167</v>
      </c>
      <c r="AB18" s="352">
        <v>163568212.45070201</v>
      </c>
      <c r="AC18" s="352">
        <v>93501157.638849497</v>
      </c>
      <c r="AD18" s="26"/>
    </row>
    <row r="19" spans="1:30" ht="22.5" customHeight="1" x14ac:dyDescent="0.2">
      <c r="A19" s="23"/>
      <c r="B19" s="23"/>
      <c r="C19" s="23"/>
      <c r="D19" s="23"/>
      <c r="E19" s="23"/>
      <c r="F19" s="23"/>
      <c r="G19" s="23"/>
      <c r="H19" s="23"/>
      <c r="I19" s="23"/>
      <c r="J19" s="23"/>
      <c r="W19" s="730"/>
      <c r="X19" s="347" t="s">
        <v>97</v>
      </c>
      <c r="Y19" s="348">
        <f>Y20</f>
        <v>427603897.02119601</v>
      </c>
      <c r="Z19" s="348">
        <f>Z20</f>
        <v>32017986.1409036</v>
      </c>
      <c r="AA19" s="348">
        <f>AA20</f>
        <v>66717157.168037497</v>
      </c>
      <c r="AB19" s="348">
        <f>AB20</f>
        <v>300069713.48142099</v>
      </c>
      <c r="AC19" s="348">
        <f>AC20</f>
        <v>28799040.230833799</v>
      </c>
      <c r="AD19" s="26"/>
    </row>
    <row r="20" spans="1:30" ht="22.5" customHeight="1" x14ac:dyDescent="0.2">
      <c r="A20" s="23"/>
      <c r="B20" s="23"/>
      <c r="C20" s="23"/>
      <c r="D20" s="23"/>
      <c r="E20" s="23"/>
      <c r="F20" s="23"/>
      <c r="G20" s="23"/>
      <c r="H20" s="23"/>
      <c r="I20" s="23"/>
      <c r="J20" s="23"/>
      <c r="W20" s="731"/>
      <c r="X20" s="351" t="s">
        <v>20</v>
      </c>
      <c r="Y20" s="352">
        <v>427603897.02119601</v>
      </c>
      <c r="Z20" s="352">
        <v>32017986.1409036</v>
      </c>
      <c r="AA20" s="352">
        <v>66717157.168037497</v>
      </c>
      <c r="AB20" s="352">
        <v>300069713.48142099</v>
      </c>
      <c r="AC20" s="352">
        <v>28799040.230833799</v>
      </c>
      <c r="AD20" s="26"/>
    </row>
    <row r="21" spans="1:30" ht="22.5" customHeight="1" x14ac:dyDescent="0.2">
      <c r="A21" s="23"/>
      <c r="B21" s="23"/>
      <c r="C21" s="23"/>
      <c r="D21" s="23"/>
      <c r="E21" s="23"/>
      <c r="F21" s="23"/>
      <c r="G21" s="23"/>
      <c r="H21" s="23"/>
      <c r="I21" s="23"/>
      <c r="J21" s="23"/>
      <c r="W21" s="729" t="s">
        <v>168</v>
      </c>
      <c r="X21" s="347" t="s">
        <v>76</v>
      </c>
      <c r="Y21" s="357">
        <f>SUM(Y22:Y24)</f>
        <v>1244571474.593271</v>
      </c>
      <c r="Z21" s="348">
        <f>SUM(Z22:Z24)</f>
        <v>29500342.854879998</v>
      </c>
      <c r="AA21" s="348">
        <f>SUM(AA22:AA24)</f>
        <v>446007781.75045198</v>
      </c>
      <c r="AB21" s="348">
        <f>SUM(AB22:AB24)</f>
        <v>707211420.21113491</v>
      </c>
      <c r="AC21" s="348">
        <f>SUM(AC22:AC24)</f>
        <v>61851929.776802972</v>
      </c>
      <c r="AD21" s="26"/>
    </row>
    <row r="22" spans="1:30" ht="22.5" customHeight="1" x14ac:dyDescent="0.2">
      <c r="A22" s="23"/>
      <c r="B22" s="23"/>
      <c r="C22" s="23"/>
      <c r="D22" s="23"/>
      <c r="E22" s="23"/>
      <c r="F22" s="23"/>
      <c r="G22" s="23"/>
      <c r="H22" s="23"/>
      <c r="I22" s="23"/>
      <c r="J22" s="23"/>
      <c r="W22" s="730"/>
      <c r="X22" s="351" t="s">
        <v>169</v>
      </c>
      <c r="Y22" s="352">
        <v>605022183.79920697</v>
      </c>
      <c r="Z22" s="352">
        <v>28539590.857124999</v>
      </c>
      <c r="AA22" s="352">
        <v>315919722.09195799</v>
      </c>
      <c r="AB22" s="352">
        <v>214965775.75299999</v>
      </c>
      <c r="AC22" s="352">
        <v>45597095.097122997</v>
      </c>
      <c r="AD22" s="26"/>
    </row>
    <row r="23" spans="1:30" ht="22.5" customHeight="1" x14ac:dyDescent="0.2">
      <c r="A23" s="23"/>
      <c r="B23" s="23"/>
      <c r="C23" s="23"/>
      <c r="D23" s="23"/>
      <c r="E23" s="23"/>
      <c r="F23" s="23"/>
      <c r="G23" s="23"/>
      <c r="H23" s="23"/>
      <c r="I23" s="23"/>
      <c r="J23" s="23"/>
      <c r="W23" s="730"/>
      <c r="X23" s="351" t="s">
        <v>14</v>
      </c>
      <c r="Y23" s="352">
        <v>349219891.43045902</v>
      </c>
      <c r="Z23" s="352">
        <v>960751.99775500002</v>
      </c>
      <c r="AA23" s="352">
        <v>46597272.646474898</v>
      </c>
      <c r="AB23" s="352">
        <v>291424998.39656299</v>
      </c>
      <c r="AC23" s="352">
        <v>10236868.389666</v>
      </c>
      <c r="AD23" s="26"/>
    </row>
    <row r="24" spans="1:30" ht="22.5" customHeight="1" x14ac:dyDescent="0.2">
      <c r="A24" s="23"/>
      <c r="B24" s="23"/>
      <c r="C24" s="23"/>
      <c r="D24" s="23"/>
      <c r="E24" s="23"/>
      <c r="F24" s="23"/>
      <c r="G24" s="23"/>
      <c r="H24" s="23"/>
      <c r="I24" s="23"/>
      <c r="J24" s="23"/>
      <c r="W24" s="731"/>
      <c r="X24" s="351" t="s">
        <v>548</v>
      </c>
      <c r="Y24" s="352">
        <v>290329399.36360502</v>
      </c>
      <c r="Z24" s="358" t="s">
        <v>16</v>
      </c>
      <c r="AA24" s="352">
        <v>83490787.012019098</v>
      </c>
      <c r="AB24" s="352">
        <v>200820646.06157199</v>
      </c>
      <c r="AC24" s="352">
        <v>6017966.2900139801</v>
      </c>
      <c r="AD24" s="26"/>
    </row>
    <row r="25" spans="1:30" ht="22.5" customHeight="1" x14ac:dyDescent="0.2">
      <c r="A25" s="23"/>
      <c r="B25" s="23"/>
      <c r="C25" s="23"/>
      <c r="D25" s="23"/>
      <c r="E25" s="23"/>
      <c r="F25" s="23"/>
      <c r="G25" s="23"/>
      <c r="H25" s="23"/>
      <c r="I25" s="23"/>
      <c r="J25" s="23"/>
      <c r="W25" s="359" t="s">
        <v>170</v>
      </c>
      <c r="X25" s="347" t="s">
        <v>90</v>
      </c>
      <c r="Y25" s="357">
        <f>SUM(Y4,Y7,Y9,Y13,Y15,Y17,Y19,Y21)</f>
        <v>4280298333.1395922</v>
      </c>
      <c r="Z25" s="348">
        <f>SUM(Z4,Z7,Z9,Z13,Z15,Z17,Z19,Z21)</f>
        <v>215273231.17380744</v>
      </c>
      <c r="AA25" s="348">
        <f>SUM(AA4,AA7,AA9,AA13,AA15,AA17,AA19,AA21)</f>
        <v>741147004.43578625</v>
      </c>
      <c r="AB25" s="357">
        <f>SUM(AB4,AB7,AB9,AB13,AB15,AB17,AB19,AB21)</f>
        <v>2982646433.9576607</v>
      </c>
      <c r="AC25" s="360">
        <f>SUM(AC4,AC7,AC9,AC13,AC15,AC17,AC19,AC21)</f>
        <v>341231663.57233697</v>
      </c>
    </row>
    <row r="26" spans="1:30" ht="14.1" customHeight="1" x14ac:dyDescent="0.2">
      <c r="A26" s="23"/>
      <c r="B26" s="23"/>
      <c r="C26" s="23"/>
      <c r="D26" s="23"/>
      <c r="E26" s="23"/>
      <c r="F26" s="23"/>
      <c r="G26" s="23"/>
      <c r="H26" s="23"/>
      <c r="I26" s="23"/>
      <c r="J26" s="23"/>
      <c r="W26" s="81"/>
      <c r="X26" s="81"/>
      <c r="Y26" s="81"/>
      <c r="Z26" s="81"/>
      <c r="AA26" s="81"/>
      <c r="AB26" s="81"/>
      <c r="AC26" s="81"/>
    </row>
    <row r="27" spans="1:30" ht="14.1" customHeight="1" x14ac:dyDescent="0.2">
      <c r="A27" s="23"/>
      <c r="B27" s="23"/>
      <c r="C27" s="23"/>
      <c r="D27" s="23"/>
      <c r="E27" s="23"/>
      <c r="F27" s="23"/>
      <c r="G27" s="23"/>
      <c r="H27" s="23"/>
      <c r="I27" s="23"/>
      <c r="J27" s="23"/>
    </row>
    <row r="28" spans="1:30" ht="14.1" customHeight="1" x14ac:dyDescent="0.2">
      <c r="A28" s="23"/>
      <c r="B28" s="23"/>
      <c r="C28" s="23"/>
      <c r="D28" s="23"/>
      <c r="E28" s="33"/>
      <c r="F28" s="23"/>
      <c r="G28" s="23"/>
      <c r="H28" s="23"/>
      <c r="I28" s="23"/>
      <c r="J28" s="23"/>
    </row>
    <row r="29" spans="1:30" ht="15" customHeight="1" x14ac:dyDescent="0.2"/>
    <row r="30" spans="1:30" ht="15" customHeight="1" x14ac:dyDescent="0.2"/>
    <row r="31" spans="1:30" ht="15" customHeight="1" x14ac:dyDescent="0.2"/>
    <row r="32" spans="1:3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sheetData>
  <sheetProtection algorithmName="SHA-512" hashValue="TJ8KHOg/AheqXzzR8F0W9q8eUBXTQmY8M0/5DP+f3DBlcB5VLIW5p1no+qCYrHMV4y0zujQWFfBNlGv3n0I+Pw==" saltValue="jJw8zIauCxF56FA2xzgOpg==" spinCount="100000" sheet="1" objects="1" scenarios="1"/>
  <mergeCells count="12">
    <mergeCell ref="T3:U3"/>
    <mergeCell ref="R3:S3"/>
    <mergeCell ref="W15:W20"/>
    <mergeCell ref="W21:W24"/>
    <mergeCell ref="M10:U12"/>
    <mergeCell ref="W7:W14"/>
    <mergeCell ref="W4:W6"/>
    <mergeCell ref="A3:B3"/>
    <mergeCell ref="A5:A6"/>
    <mergeCell ref="P3:Q3"/>
    <mergeCell ref="N3:O3"/>
    <mergeCell ref="D9:K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50"/>
  <sheetViews>
    <sheetView showGridLines="0" showRuler="0" workbookViewId="0">
      <selection activeCell="G14" sqref="G14"/>
    </sheetView>
  </sheetViews>
  <sheetFormatPr defaultColWidth="13.140625" defaultRowHeight="12.75" x14ac:dyDescent="0.2"/>
  <cols>
    <col min="1" max="1" width="23.42578125" customWidth="1"/>
    <col min="2" max="4" width="30.42578125" customWidth="1"/>
    <col min="5" max="5" width="9.5703125" customWidth="1"/>
    <col min="6" max="7" width="23.28515625" customWidth="1"/>
  </cols>
  <sheetData>
    <row r="1" spans="1:8" ht="20.85" customHeight="1" x14ac:dyDescent="0.25">
      <c r="A1" s="560" t="s">
        <v>962</v>
      </c>
      <c r="B1" s="560"/>
      <c r="C1" s="560"/>
      <c r="D1" s="23"/>
      <c r="E1" s="23"/>
    </row>
    <row r="2" spans="1:8" x14ac:dyDescent="0.2">
      <c r="A2" s="2"/>
      <c r="B2" s="24"/>
      <c r="C2" s="24"/>
      <c r="D2" s="24"/>
      <c r="E2" s="23"/>
    </row>
    <row r="3" spans="1:8" ht="32.450000000000003" customHeight="1" x14ac:dyDescent="0.2">
      <c r="A3" s="722" t="s">
        <v>1221</v>
      </c>
      <c r="B3" s="723"/>
      <c r="C3" s="723"/>
      <c r="D3" s="723"/>
      <c r="E3" s="11"/>
      <c r="F3" s="732" t="s">
        <v>1222</v>
      </c>
      <c r="G3" s="733"/>
      <c r="H3" s="26"/>
    </row>
    <row r="4" spans="1:8" ht="21.6" customHeight="1" x14ac:dyDescent="0.2">
      <c r="A4" s="42" t="s">
        <v>142</v>
      </c>
      <c r="B4" s="42" t="s">
        <v>963</v>
      </c>
      <c r="C4" s="42" t="s">
        <v>964</v>
      </c>
      <c r="D4" s="42" t="s">
        <v>965</v>
      </c>
      <c r="E4" s="11"/>
      <c r="F4" s="42" t="s">
        <v>142</v>
      </c>
      <c r="G4" s="42" t="s">
        <v>966</v>
      </c>
      <c r="H4" s="26"/>
    </row>
    <row r="5" spans="1:8" ht="21.6" customHeight="1" x14ac:dyDescent="0.2">
      <c r="A5" s="10" t="s">
        <v>89</v>
      </c>
      <c r="B5" s="362" t="s">
        <v>967</v>
      </c>
      <c r="C5" s="362" t="s">
        <v>968</v>
      </c>
      <c r="D5" s="362" t="s">
        <v>969</v>
      </c>
      <c r="E5" s="11"/>
      <c r="F5" s="40" t="s">
        <v>89</v>
      </c>
      <c r="G5" s="363">
        <v>1.34</v>
      </c>
      <c r="H5" s="26"/>
    </row>
    <row r="6" spans="1:8" ht="21.6" customHeight="1" x14ac:dyDescent="0.2">
      <c r="A6" s="10" t="s">
        <v>76</v>
      </c>
      <c r="B6" s="362" t="s">
        <v>970</v>
      </c>
      <c r="C6" s="362" t="s">
        <v>971</v>
      </c>
      <c r="D6" s="362" t="s">
        <v>972</v>
      </c>
      <c r="E6" s="11"/>
      <c r="F6" s="46" t="s">
        <v>76</v>
      </c>
      <c r="G6" s="363">
        <v>0.25</v>
      </c>
      <c r="H6" s="26"/>
    </row>
    <row r="7" spans="1:8" ht="21.6" customHeight="1" x14ac:dyDescent="0.2">
      <c r="A7" s="10" t="s">
        <v>82</v>
      </c>
      <c r="B7" s="362" t="s">
        <v>973</v>
      </c>
      <c r="C7" s="362" t="s">
        <v>974</v>
      </c>
      <c r="D7" s="362" t="s">
        <v>974</v>
      </c>
      <c r="E7" s="11"/>
      <c r="F7" s="46" t="s">
        <v>82</v>
      </c>
      <c r="G7" s="363">
        <v>1.4</v>
      </c>
      <c r="H7" s="26"/>
    </row>
    <row r="8" spans="1:8" ht="21.6" customHeight="1" x14ac:dyDescent="0.2">
      <c r="A8" s="10" t="s">
        <v>72</v>
      </c>
      <c r="B8" s="362" t="s">
        <v>975</v>
      </c>
      <c r="C8" s="362" t="s">
        <v>976</v>
      </c>
      <c r="D8" s="362" t="s">
        <v>977</v>
      </c>
      <c r="E8" s="11"/>
      <c r="F8" s="46" t="s">
        <v>72</v>
      </c>
      <c r="G8" s="363">
        <v>0.37</v>
      </c>
      <c r="H8" s="26"/>
    </row>
    <row r="9" spans="1:8" ht="21.6" customHeight="1" x14ac:dyDescent="0.2">
      <c r="A9" s="10" t="s">
        <v>86</v>
      </c>
      <c r="B9" s="362" t="s">
        <v>973</v>
      </c>
      <c r="C9" s="362" t="s">
        <v>978</v>
      </c>
      <c r="D9" s="362" t="s">
        <v>978</v>
      </c>
      <c r="E9" s="11"/>
      <c r="F9" s="46" t="s">
        <v>86</v>
      </c>
      <c r="G9" s="363">
        <v>0.27</v>
      </c>
      <c r="H9" s="26"/>
    </row>
    <row r="10" spans="1:8" ht="21.6" customHeight="1" x14ac:dyDescent="0.2">
      <c r="A10" s="10" t="s">
        <v>97</v>
      </c>
      <c r="B10" s="362" t="s">
        <v>973</v>
      </c>
      <c r="C10" s="362" t="s">
        <v>979</v>
      </c>
      <c r="D10" s="362" t="s">
        <v>979</v>
      </c>
      <c r="E10" s="11"/>
      <c r="F10" s="46" t="s">
        <v>97</v>
      </c>
      <c r="G10" s="363">
        <v>-0.4</v>
      </c>
      <c r="H10" s="26"/>
    </row>
    <row r="11" spans="1:8" ht="21.6" customHeight="1" x14ac:dyDescent="0.2">
      <c r="A11" s="10" t="s">
        <v>94</v>
      </c>
      <c r="B11" s="362" t="s">
        <v>980</v>
      </c>
      <c r="C11" s="362" t="s">
        <v>981</v>
      </c>
      <c r="D11" s="362" t="s">
        <v>982</v>
      </c>
      <c r="E11" s="11"/>
      <c r="F11" s="46" t="s">
        <v>94</v>
      </c>
      <c r="G11" s="363">
        <v>0.27</v>
      </c>
      <c r="H11" s="26"/>
    </row>
    <row r="12" spans="1:8" ht="21.6" customHeight="1" x14ac:dyDescent="0.2">
      <c r="A12" s="10" t="s">
        <v>983</v>
      </c>
      <c r="B12" s="362" t="s">
        <v>973</v>
      </c>
      <c r="C12" s="362" t="s">
        <v>984</v>
      </c>
      <c r="D12" s="362" t="s">
        <v>984</v>
      </c>
      <c r="E12" s="11"/>
      <c r="F12" s="46" t="s">
        <v>985</v>
      </c>
      <c r="G12" s="363">
        <v>-0.06</v>
      </c>
      <c r="H12" s="26"/>
    </row>
    <row r="13" spans="1:8" ht="21.6" customHeight="1" x14ac:dyDescent="0.2">
      <c r="A13" s="4" t="s">
        <v>50</v>
      </c>
      <c r="B13" s="364" t="s">
        <v>986</v>
      </c>
      <c r="C13" s="364" t="s">
        <v>987</v>
      </c>
      <c r="D13" s="364" t="s">
        <v>988</v>
      </c>
      <c r="E13" s="11"/>
      <c r="F13" s="46" t="s">
        <v>989</v>
      </c>
      <c r="G13" s="363">
        <v>0.54</v>
      </c>
      <c r="H13" s="26"/>
    </row>
    <row r="14" spans="1:8" ht="22.5" customHeight="1" x14ac:dyDescent="0.2">
      <c r="A14" s="566" t="s">
        <v>990</v>
      </c>
      <c r="B14" s="566"/>
      <c r="C14" s="566"/>
      <c r="D14" s="566"/>
      <c r="E14" s="16"/>
      <c r="F14" s="42" t="s">
        <v>991</v>
      </c>
      <c r="G14" s="365">
        <v>0.22</v>
      </c>
      <c r="H14" s="26"/>
    </row>
    <row r="15" spans="1:8" ht="22.5" customHeight="1" x14ac:dyDescent="0.2">
      <c r="A15" s="573"/>
      <c r="B15" s="573"/>
      <c r="C15" s="573"/>
      <c r="D15" s="573"/>
      <c r="E15" s="23"/>
      <c r="F15" s="566" t="s">
        <v>992</v>
      </c>
      <c r="G15" s="566"/>
    </row>
    <row r="16" spans="1:8" ht="22.5" customHeight="1" x14ac:dyDescent="0.2">
      <c r="A16" s="573"/>
      <c r="B16" s="573"/>
      <c r="C16" s="573"/>
      <c r="D16" s="573"/>
      <c r="E16" s="23"/>
      <c r="F16" s="573"/>
      <c r="G16" s="573"/>
    </row>
    <row r="17" spans="1:7" ht="21.6" customHeight="1" x14ac:dyDescent="0.2">
      <c r="A17" s="573"/>
      <c r="B17" s="573"/>
      <c r="C17" s="573"/>
      <c r="D17" s="573"/>
      <c r="E17" s="23"/>
      <c r="F17" s="573"/>
      <c r="G17" s="573"/>
    </row>
    <row r="18" spans="1:7" ht="29.25" customHeight="1" x14ac:dyDescent="0.2">
      <c r="A18" s="573"/>
      <c r="B18" s="573"/>
      <c r="C18" s="573"/>
      <c r="D18" s="573"/>
      <c r="E18" s="23"/>
      <c r="F18" s="573"/>
      <c r="G18" s="573"/>
    </row>
    <row r="19" spans="1:7" ht="21.6" customHeight="1" x14ac:dyDescent="0.2">
      <c r="A19" s="7"/>
      <c r="B19" s="7"/>
      <c r="C19" s="23"/>
      <c r="D19" s="23"/>
      <c r="E19" s="23"/>
    </row>
    <row r="20" spans="1:7" ht="21.6" customHeight="1" x14ac:dyDescent="0.2">
      <c r="A20" s="7"/>
      <c r="B20" s="7"/>
      <c r="C20" s="23"/>
      <c r="D20" s="23"/>
      <c r="E20" s="23"/>
    </row>
    <row r="21" spans="1:7" ht="21.6" customHeight="1" x14ac:dyDescent="0.2">
      <c r="A21" s="7"/>
      <c r="B21" s="7"/>
      <c r="C21" s="23"/>
      <c r="D21" s="23"/>
      <c r="E21" s="23"/>
    </row>
    <row r="22" spans="1:7" ht="21.6" customHeight="1" x14ac:dyDescent="0.2">
      <c r="A22" s="7"/>
      <c r="B22" s="7"/>
      <c r="C22" s="23"/>
      <c r="D22" s="23"/>
      <c r="E22" s="23"/>
    </row>
    <row r="23" spans="1:7" ht="21.6" customHeight="1" x14ac:dyDescent="0.2">
      <c r="A23" s="7"/>
      <c r="B23" s="7"/>
      <c r="C23" s="23"/>
      <c r="D23" s="23"/>
      <c r="E23" s="23"/>
    </row>
    <row r="24" spans="1:7" ht="21.6" customHeight="1" x14ac:dyDescent="0.2">
      <c r="A24" s="7"/>
      <c r="B24" s="7"/>
      <c r="C24" s="23"/>
      <c r="D24" s="23"/>
      <c r="E24" s="23"/>
    </row>
    <row r="25" spans="1:7" ht="21.6" customHeight="1" x14ac:dyDescent="0.2">
      <c r="A25" s="7"/>
      <c r="B25" s="7"/>
      <c r="C25" s="23"/>
      <c r="D25" s="23"/>
      <c r="E25" s="23"/>
    </row>
    <row r="26" spans="1:7" ht="21.6" customHeight="1" x14ac:dyDescent="0.2">
      <c r="A26" s="7"/>
      <c r="B26" s="7"/>
      <c r="C26" s="23"/>
      <c r="D26" s="23"/>
      <c r="E26" s="23"/>
    </row>
    <row r="27" spans="1:7" ht="21.6" customHeight="1" x14ac:dyDescent="0.2">
      <c r="A27" s="7"/>
      <c r="B27" s="7"/>
      <c r="C27" s="23"/>
      <c r="D27" s="23"/>
      <c r="E27" s="23"/>
    </row>
    <row r="28" spans="1:7" ht="105.75" customHeight="1" x14ac:dyDescent="0.2">
      <c r="A28" s="7"/>
      <c r="C28" s="23"/>
      <c r="D28" s="33"/>
      <c r="E28" s="23"/>
    </row>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sheetProtection algorithmName="SHA-512" hashValue="f8F3mEChtB2SKTdkKb9jJB80Oxuz+Re8/ysFhvMIJ7W/qi7PJ3HpkRU04x6nBE6/QwWh2eQXm+2ZML6MtxfP2A==" saltValue="2BwYZPelWDH1/isaZJ0pTw==" spinCount="100000" sheet="1" objects="1" scenarios="1"/>
  <mergeCells count="5">
    <mergeCell ref="A1:C1"/>
    <mergeCell ref="A3:D3"/>
    <mergeCell ref="F3:G3"/>
    <mergeCell ref="F15:G18"/>
    <mergeCell ref="A14:D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Y52"/>
  <sheetViews>
    <sheetView showGridLines="0" showRuler="0" workbookViewId="0">
      <selection activeCell="J8" sqref="J8"/>
    </sheetView>
  </sheetViews>
  <sheetFormatPr defaultColWidth="13.140625" defaultRowHeight="12.75" x14ac:dyDescent="0.2"/>
  <cols>
    <col min="1" max="1" width="31.140625" customWidth="1"/>
    <col min="2" max="2" width="0" hidden="1"/>
    <col min="8" max="8" width="5" customWidth="1"/>
    <col min="9" max="9" width="4.140625" customWidth="1"/>
    <col min="10" max="10" width="25.5703125" customWidth="1"/>
    <col min="11" max="11" width="0" hidden="1"/>
    <col min="17" max="17" width="8.42578125" customWidth="1"/>
    <col min="18" max="18" width="27.140625" customWidth="1"/>
    <col min="19" max="19" width="0" hidden="1"/>
  </cols>
  <sheetData>
    <row r="1" spans="1:25" ht="15.75" customHeight="1" x14ac:dyDescent="0.2">
      <c r="A1" s="734" t="s">
        <v>993</v>
      </c>
      <c r="B1" s="735"/>
      <c r="C1" s="735"/>
      <c r="D1" s="735"/>
      <c r="E1" s="23"/>
      <c r="F1" s="23"/>
      <c r="G1" s="23"/>
    </row>
    <row r="2" spans="1:25" x14ac:dyDescent="0.2">
      <c r="A2" s="2"/>
      <c r="B2" s="24"/>
      <c r="C2" s="24"/>
      <c r="D2" s="24"/>
      <c r="E2" s="24"/>
      <c r="F2" s="24"/>
      <c r="G2" s="24"/>
    </row>
    <row r="3" spans="1:25" ht="50.85" customHeight="1" x14ac:dyDescent="0.2">
      <c r="A3" s="366" t="s">
        <v>994</v>
      </c>
      <c r="B3" s="367" t="s">
        <v>175</v>
      </c>
      <c r="C3" s="367" t="s">
        <v>176</v>
      </c>
      <c r="D3" s="367" t="s">
        <v>177</v>
      </c>
      <c r="E3" s="367">
        <v>2018</v>
      </c>
      <c r="F3" s="367">
        <v>2019</v>
      </c>
      <c r="G3" s="367">
        <v>2020</v>
      </c>
      <c r="H3" s="26"/>
      <c r="J3" s="366" t="s">
        <v>995</v>
      </c>
      <c r="K3" s="368" t="s">
        <v>175</v>
      </c>
      <c r="L3" s="367" t="s">
        <v>176</v>
      </c>
      <c r="M3" s="409" t="s">
        <v>177</v>
      </c>
      <c r="N3" s="409">
        <v>2018</v>
      </c>
      <c r="O3" s="409">
        <v>2019</v>
      </c>
      <c r="P3" s="409">
        <v>2020</v>
      </c>
      <c r="Q3" s="55"/>
      <c r="R3" s="366" t="s">
        <v>996</v>
      </c>
      <c r="S3" s="367" t="s">
        <v>175</v>
      </c>
      <c r="T3" s="367" t="s">
        <v>176</v>
      </c>
      <c r="U3" s="367" t="s">
        <v>177</v>
      </c>
      <c r="V3" s="367">
        <v>2018</v>
      </c>
      <c r="W3" s="367">
        <v>2019</v>
      </c>
      <c r="X3" s="367">
        <v>2020</v>
      </c>
      <c r="Y3" s="26"/>
    </row>
    <row r="4" spans="1:25" ht="21.6" customHeight="1" x14ac:dyDescent="0.2">
      <c r="A4" s="369" t="s">
        <v>997</v>
      </c>
      <c r="B4" s="370">
        <v>13027</v>
      </c>
      <c r="C4" s="370">
        <v>10804</v>
      </c>
      <c r="D4" s="370">
        <v>12569</v>
      </c>
      <c r="E4" s="370">
        <v>12442</v>
      </c>
      <c r="F4" s="370">
        <v>16636</v>
      </c>
      <c r="G4" s="370">
        <v>14468</v>
      </c>
      <c r="H4" s="26"/>
      <c r="J4" s="369" t="s">
        <v>578</v>
      </c>
      <c r="K4" s="370">
        <v>1998</v>
      </c>
      <c r="L4" s="370">
        <v>1954</v>
      </c>
      <c r="M4" s="410">
        <v>1953</v>
      </c>
      <c r="N4" s="410">
        <v>2043</v>
      </c>
      <c r="O4" s="410">
        <v>2192</v>
      </c>
      <c r="P4" s="410">
        <v>2088</v>
      </c>
      <c r="Q4" s="55"/>
      <c r="R4" s="369" t="s">
        <v>578</v>
      </c>
      <c r="S4" s="370">
        <v>3130</v>
      </c>
      <c r="T4" s="370">
        <v>2022</v>
      </c>
      <c r="U4" s="370">
        <v>3261</v>
      </c>
      <c r="V4" s="370">
        <v>3469</v>
      </c>
      <c r="W4" s="419">
        <v>3448</v>
      </c>
      <c r="X4" s="419">
        <v>3271</v>
      </c>
      <c r="Y4" s="26"/>
    </row>
    <row r="5" spans="1:25" ht="21.6" customHeight="1" x14ac:dyDescent="0.2">
      <c r="A5" s="369" t="s">
        <v>998</v>
      </c>
      <c r="B5" s="370">
        <v>13749</v>
      </c>
      <c r="C5" s="370">
        <v>9312</v>
      </c>
      <c r="D5" s="370">
        <v>12111</v>
      </c>
      <c r="E5" s="370">
        <v>11765</v>
      </c>
      <c r="F5" s="370">
        <v>15026</v>
      </c>
      <c r="G5" s="370">
        <v>13540</v>
      </c>
      <c r="H5" s="26"/>
      <c r="J5" s="369" t="s">
        <v>999</v>
      </c>
      <c r="K5" s="370">
        <v>5380</v>
      </c>
      <c r="L5" s="370">
        <v>2683</v>
      </c>
      <c r="M5" s="410">
        <v>2895</v>
      </c>
      <c r="N5" s="410">
        <v>2824</v>
      </c>
      <c r="O5" s="410">
        <v>2874</v>
      </c>
      <c r="P5" s="410">
        <v>2173</v>
      </c>
      <c r="Q5" s="55"/>
      <c r="R5" s="369" t="s">
        <v>76</v>
      </c>
      <c r="S5" s="370">
        <v>4871</v>
      </c>
      <c r="T5" s="370">
        <v>2038</v>
      </c>
      <c r="U5" s="370">
        <v>1541</v>
      </c>
      <c r="V5" s="417">
        <v>1539</v>
      </c>
      <c r="W5" s="420">
        <v>1706</v>
      </c>
      <c r="X5" s="420">
        <v>2450</v>
      </c>
      <c r="Y5" s="393"/>
    </row>
    <row r="6" spans="1:25" ht="22.5" customHeight="1" x14ac:dyDescent="0.2">
      <c r="A6" s="369" t="s">
        <v>90</v>
      </c>
      <c r="B6" s="371">
        <v>26776</v>
      </c>
      <c r="C6" s="371">
        <v>20116</v>
      </c>
      <c r="D6" s="371">
        <v>24680</v>
      </c>
      <c r="E6" s="371">
        <v>24207</v>
      </c>
      <c r="F6" s="371">
        <v>31662</v>
      </c>
      <c r="G6" s="371">
        <v>28008</v>
      </c>
      <c r="H6" s="26"/>
      <c r="J6" s="369" t="s">
        <v>1000</v>
      </c>
      <c r="K6" s="370">
        <v>3743</v>
      </c>
      <c r="L6" s="370">
        <v>4438</v>
      </c>
      <c r="M6" s="410">
        <v>4838</v>
      </c>
      <c r="N6" s="410">
        <v>4762</v>
      </c>
      <c r="O6" s="410">
        <v>7260</v>
      </c>
      <c r="P6" s="410">
        <v>6070</v>
      </c>
      <c r="Q6" s="55"/>
      <c r="R6" s="369" t="s">
        <v>1001</v>
      </c>
      <c r="S6" s="370">
        <v>1422</v>
      </c>
      <c r="T6" s="370">
        <v>1556</v>
      </c>
      <c r="U6" s="370">
        <v>2237</v>
      </c>
      <c r="V6" s="417">
        <v>1580</v>
      </c>
      <c r="W6" s="420">
        <v>4699</v>
      </c>
      <c r="X6" s="420">
        <v>3483</v>
      </c>
      <c r="Y6" s="393"/>
    </row>
    <row r="7" spans="1:25" ht="22.5" customHeight="1" x14ac:dyDescent="0.2">
      <c r="A7" s="563" t="s">
        <v>1002</v>
      </c>
      <c r="B7" s="563"/>
      <c r="C7" s="563"/>
      <c r="D7" s="563"/>
      <c r="E7" s="563"/>
      <c r="F7" s="563"/>
      <c r="G7" s="563"/>
      <c r="J7" s="369" t="s">
        <v>1003</v>
      </c>
      <c r="K7" s="370">
        <v>1906</v>
      </c>
      <c r="L7" s="370">
        <v>1729</v>
      </c>
      <c r="M7" s="410">
        <v>2883</v>
      </c>
      <c r="N7" s="410">
        <v>2813</v>
      </c>
      <c r="O7" s="410">
        <v>4310</v>
      </c>
      <c r="P7" s="410">
        <v>4137</v>
      </c>
      <c r="Q7" s="55"/>
      <c r="R7" s="369" t="s">
        <v>1004</v>
      </c>
      <c r="S7" s="370">
        <v>4326</v>
      </c>
      <c r="T7" s="370">
        <v>3696</v>
      </c>
      <c r="U7" s="370">
        <v>5072</v>
      </c>
      <c r="V7" s="417">
        <v>5177</v>
      </c>
      <c r="W7" s="420">
        <v>5173</v>
      </c>
      <c r="X7" s="420">
        <v>4336</v>
      </c>
      <c r="Y7" s="393"/>
    </row>
    <row r="8" spans="1:25" ht="22.5" customHeight="1" x14ac:dyDescent="0.2">
      <c r="A8" s="564"/>
      <c r="B8" s="564"/>
      <c r="C8" s="564"/>
      <c r="D8" s="564"/>
      <c r="E8" s="564"/>
      <c r="F8" s="564"/>
      <c r="G8" s="564"/>
      <c r="J8" s="369" t="s">
        <v>90</v>
      </c>
      <c r="K8" s="371">
        <v>13027</v>
      </c>
      <c r="L8" s="371">
        <v>10804</v>
      </c>
      <c r="M8" s="411">
        <v>12569</v>
      </c>
      <c r="N8" s="411">
        <v>12442</v>
      </c>
      <c r="O8" s="411">
        <v>16636</v>
      </c>
      <c r="P8" s="411">
        <v>14468</v>
      </c>
      <c r="Q8" s="55"/>
      <c r="R8" s="369" t="s">
        <v>90</v>
      </c>
      <c r="S8" s="371">
        <v>13749</v>
      </c>
      <c r="T8" s="371">
        <v>9312</v>
      </c>
      <c r="U8" s="371">
        <v>12111</v>
      </c>
      <c r="V8" s="418">
        <v>11765</v>
      </c>
      <c r="W8" s="421">
        <v>15026</v>
      </c>
      <c r="X8" s="421">
        <v>13540</v>
      </c>
      <c r="Y8" s="393"/>
    </row>
    <row r="9" spans="1:25" ht="24.2" customHeight="1" x14ac:dyDescent="0.2">
      <c r="A9" s="7"/>
      <c r="B9" s="7"/>
      <c r="C9" s="7"/>
      <c r="D9" s="7"/>
      <c r="E9" s="7"/>
      <c r="F9" s="7"/>
      <c r="G9" s="23"/>
      <c r="J9" s="563" t="s">
        <v>1005</v>
      </c>
      <c r="K9" s="563"/>
      <c r="L9" s="563"/>
      <c r="M9" s="563"/>
      <c r="N9" s="563"/>
      <c r="O9" s="563"/>
      <c r="P9" s="563"/>
      <c r="R9" s="563" t="s">
        <v>1006</v>
      </c>
      <c r="S9" s="563"/>
      <c r="T9" s="563"/>
      <c r="U9" s="563"/>
      <c r="V9" s="563"/>
      <c r="W9" s="564"/>
      <c r="X9" s="564"/>
    </row>
    <row r="10" spans="1:25" ht="21.6" customHeight="1" x14ac:dyDescent="0.2">
      <c r="A10" s="7"/>
      <c r="B10" s="7"/>
      <c r="C10" s="7"/>
      <c r="D10" s="7"/>
      <c r="E10" s="7"/>
      <c r="F10" s="7"/>
      <c r="G10" s="23"/>
      <c r="J10" s="564"/>
      <c r="K10" s="564"/>
      <c r="L10" s="564"/>
      <c r="M10" s="564"/>
      <c r="N10" s="564"/>
      <c r="O10" s="564"/>
      <c r="P10" s="564"/>
      <c r="R10" s="564"/>
      <c r="S10" s="564"/>
      <c r="T10" s="564"/>
      <c r="U10" s="564"/>
      <c r="V10" s="564"/>
      <c r="W10" s="564"/>
      <c r="X10" s="564"/>
    </row>
    <row r="11" spans="1:25" ht="21.6" customHeight="1" x14ac:dyDescent="0.2">
      <c r="B11" s="7"/>
      <c r="C11" s="7"/>
      <c r="D11" s="7"/>
      <c r="E11" s="7"/>
      <c r="F11" s="23"/>
      <c r="H11" s="7"/>
      <c r="I11" s="30"/>
      <c r="J11" s="564"/>
      <c r="K11" s="564"/>
      <c r="L11" s="564"/>
      <c r="M11" s="564"/>
      <c r="N11" s="564"/>
      <c r="O11" s="564"/>
      <c r="P11" s="564"/>
      <c r="Q11" s="47"/>
      <c r="R11" s="564"/>
      <c r="S11" s="564"/>
      <c r="T11" s="564"/>
      <c r="U11" s="564"/>
      <c r="V11" s="564"/>
      <c r="W11" s="564"/>
      <c r="X11" s="564"/>
    </row>
    <row r="12" spans="1:25" ht="21.6" customHeight="1" x14ac:dyDescent="0.2">
      <c r="B12" s="7"/>
      <c r="C12" s="7"/>
      <c r="D12" s="7"/>
      <c r="E12" s="7"/>
      <c r="F12" s="23"/>
      <c r="H12" s="7"/>
      <c r="I12" s="30"/>
      <c r="J12" s="564"/>
      <c r="K12" s="564"/>
      <c r="L12" s="564"/>
      <c r="M12" s="564"/>
      <c r="N12" s="564"/>
      <c r="O12" s="564"/>
      <c r="P12" s="564"/>
      <c r="Q12" s="47"/>
      <c r="R12" s="564"/>
      <c r="S12" s="564"/>
      <c r="T12" s="564"/>
      <c r="U12" s="564"/>
      <c r="V12" s="564"/>
      <c r="W12" s="564"/>
      <c r="X12" s="564"/>
    </row>
    <row r="13" spans="1:25" ht="21.6" customHeight="1" x14ac:dyDescent="0.2">
      <c r="B13" s="7"/>
      <c r="C13" s="7"/>
      <c r="D13" s="7"/>
      <c r="E13" s="7"/>
      <c r="F13" s="23"/>
      <c r="H13" s="7"/>
      <c r="I13" s="30"/>
      <c r="J13" s="564"/>
      <c r="K13" s="564"/>
      <c r="L13" s="564"/>
      <c r="M13" s="564"/>
      <c r="N13" s="564"/>
      <c r="O13" s="564"/>
      <c r="P13" s="564"/>
      <c r="R13" s="564"/>
      <c r="S13" s="564"/>
      <c r="T13" s="564"/>
      <c r="U13" s="564"/>
      <c r="V13" s="564"/>
      <c r="W13" s="564"/>
      <c r="X13" s="564"/>
    </row>
    <row r="14" spans="1:25" ht="21.6" customHeight="1" x14ac:dyDescent="0.2">
      <c r="B14" s="7"/>
      <c r="C14" s="7"/>
      <c r="D14" s="7"/>
      <c r="E14" s="7"/>
      <c r="F14" s="23"/>
      <c r="H14" s="7"/>
      <c r="J14" s="564"/>
      <c r="K14" s="564"/>
      <c r="L14" s="564"/>
      <c r="M14" s="564"/>
      <c r="N14" s="564"/>
      <c r="O14" s="564"/>
      <c r="P14" s="564"/>
      <c r="R14" s="564"/>
      <c r="S14" s="564"/>
      <c r="T14" s="564"/>
      <c r="U14" s="564"/>
      <c r="V14" s="564"/>
      <c r="W14" s="564"/>
      <c r="X14" s="564"/>
    </row>
    <row r="15" spans="1:25" ht="21.6" customHeight="1" x14ac:dyDescent="0.2">
      <c r="A15" s="7"/>
      <c r="F15" s="23"/>
      <c r="H15" s="7"/>
    </row>
    <row r="16" spans="1:25" ht="22.5" customHeight="1" x14ac:dyDescent="0.2">
      <c r="A16" s="7"/>
      <c r="B16" s="7"/>
      <c r="F16" s="23"/>
      <c r="H16" s="7"/>
    </row>
    <row r="17" spans="1:8" ht="21.6" customHeight="1" x14ac:dyDescent="0.2">
      <c r="A17" s="7"/>
      <c r="B17" s="7"/>
      <c r="F17" s="23"/>
      <c r="H17" s="7"/>
    </row>
    <row r="18" spans="1:8" ht="21.6" customHeight="1" x14ac:dyDescent="0.2">
      <c r="A18" s="7"/>
      <c r="B18" s="7"/>
      <c r="F18" s="23"/>
      <c r="H18" s="7"/>
    </row>
    <row r="19" spans="1:8" ht="22.5" customHeight="1" x14ac:dyDescent="0.2">
      <c r="A19" s="7"/>
      <c r="B19" s="7"/>
      <c r="F19" s="23"/>
      <c r="H19" s="7"/>
    </row>
    <row r="20" spans="1:8" ht="22.5" customHeight="1" x14ac:dyDescent="0.2">
      <c r="A20" s="7"/>
      <c r="B20" s="7"/>
      <c r="C20" s="23"/>
      <c r="D20" s="23"/>
      <c r="E20" s="23"/>
      <c r="F20" s="23"/>
      <c r="H20" s="7"/>
    </row>
    <row r="21" spans="1:8" ht="22.5" customHeight="1" x14ac:dyDescent="0.2">
      <c r="A21" s="7"/>
      <c r="B21" s="7"/>
      <c r="C21" s="23"/>
      <c r="D21" s="23"/>
      <c r="E21" s="23"/>
      <c r="F21" s="23"/>
      <c r="H21" s="7"/>
    </row>
    <row r="22" spans="1:8" ht="21.6" customHeight="1" x14ac:dyDescent="0.2">
      <c r="A22" s="7"/>
      <c r="B22" s="7"/>
      <c r="C22" s="7"/>
      <c r="D22" s="7"/>
      <c r="E22" s="7"/>
      <c r="F22" s="23"/>
      <c r="H22" s="7"/>
    </row>
    <row r="23" spans="1:8" ht="21.6" customHeight="1" x14ac:dyDescent="0.2">
      <c r="A23" s="7"/>
      <c r="B23" s="7"/>
      <c r="C23" s="7"/>
      <c r="D23" s="7"/>
      <c r="E23" s="7"/>
      <c r="F23" s="23"/>
      <c r="H23" s="7"/>
    </row>
    <row r="24" spans="1:8" ht="21.6" customHeight="1" x14ac:dyDescent="0.2">
      <c r="A24" s="7"/>
      <c r="B24" s="7"/>
      <c r="C24" s="7"/>
      <c r="D24" s="7"/>
      <c r="E24" s="7"/>
      <c r="F24" s="23"/>
      <c r="H24" s="7"/>
    </row>
    <row r="25" spans="1:8" ht="21.6" customHeight="1" x14ac:dyDescent="0.2">
      <c r="A25" s="7"/>
      <c r="B25" s="7"/>
      <c r="C25" s="7"/>
      <c r="D25" s="7"/>
      <c r="E25" s="7"/>
      <c r="F25" s="23"/>
      <c r="H25" s="7"/>
    </row>
    <row r="26" spans="1:8" ht="15" customHeight="1" x14ac:dyDescent="0.2">
      <c r="A26" s="7"/>
      <c r="B26" s="7"/>
      <c r="H26" s="7"/>
    </row>
    <row r="27" spans="1:8" ht="15" customHeight="1" x14ac:dyDescent="0.2">
      <c r="A27" s="7"/>
      <c r="B27" s="7"/>
      <c r="H27" s="7"/>
    </row>
    <row r="28" spans="1:8" ht="15" customHeight="1" x14ac:dyDescent="0.2">
      <c r="A28" s="7"/>
      <c r="B28" s="7"/>
      <c r="H28" s="7"/>
    </row>
    <row r="29" spans="1:8" ht="15" customHeight="1" x14ac:dyDescent="0.2">
      <c r="A29" s="7"/>
      <c r="B29" s="7"/>
      <c r="H29" s="7"/>
    </row>
    <row r="30" spans="1:8" ht="15" customHeight="1" x14ac:dyDescent="0.2">
      <c r="A30" s="7"/>
      <c r="B30" s="7"/>
      <c r="H30" s="7"/>
    </row>
    <row r="31" spans="1:8" ht="15" customHeight="1" x14ac:dyDescent="0.2">
      <c r="A31" s="7"/>
      <c r="B31" s="7"/>
      <c r="H31" s="7"/>
    </row>
    <row r="32" spans="1:8" ht="15" customHeight="1" x14ac:dyDescent="0.2">
      <c r="A32" s="7"/>
      <c r="B32" s="7"/>
      <c r="H32" s="7"/>
    </row>
    <row r="33" spans="1:8" ht="15" customHeight="1" x14ac:dyDescent="0.2">
      <c r="A33" s="7"/>
      <c r="B33" s="7"/>
      <c r="H33" s="7"/>
    </row>
    <row r="34" spans="1:8" ht="15" customHeight="1" x14ac:dyDescent="0.2">
      <c r="A34" s="7"/>
      <c r="B34" s="7"/>
      <c r="H34" s="7"/>
    </row>
    <row r="35" spans="1:8" ht="15" customHeight="1" x14ac:dyDescent="0.2">
      <c r="A35" s="7"/>
      <c r="B35" s="7"/>
      <c r="H35" s="7"/>
    </row>
    <row r="36" spans="1:8" ht="15" customHeight="1" x14ac:dyDescent="0.2">
      <c r="A36" s="7"/>
      <c r="B36" s="7"/>
      <c r="H36" s="7"/>
    </row>
    <row r="37" spans="1:8" ht="15" customHeight="1" x14ac:dyDescent="0.2">
      <c r="A37" s="7"/>
      <c r="B37" s="7"/>
      <c r="H37" s="7"/>
    </row>
    <row r="38" spans="1:8" ht="15" customHeight="1" x14ac:dyDescent="0.2">
      <c r="A38" s="7"/>
      <c r="B38" s="7"/>
    </row>
    <row r="39" spans="1:8" ht="15" customHeight="1" x14ac:dyDescent="0.2">
      <c r="A39" s="7"/>
      <c r="B39" s="7"/>
    </row>
    <row r="40" spans="1:8" ht="15" customHeight="1" x14ac:dyDescent="0.2">
      <c r="A40" s="7"/>
      <c r="B40" s="7"/>
    </row>
    <row r="41" spans="1:8" ht="15" customHeight="1" x14ac:dyDescent="0.2">
      <c r="A41" s="7"/>
      <c r="B41" s="7"/>
    </row>
    <row r="42" spans="1:8" ht="15" customHeight="1" x14ac:dyDescent="0.2">
      <c r="A42" s="7"/>
      <c r="B42" s="7"/>
    </row>
    <row r="43" spans="1:8" ht="15" customHeight="1" x14ac:dyDescent="0.2">
      <c r="A43" s="7"/>
      <c r="B43" s="7"/>
    </row>
    <row r="44" spans="1:8" ht="15" customHeight="1" x14ac:dyDescent="0.2">
      <c r="A44" s="7"/>
      <c r="B44" s="7"/>
    </row>
    <row r="45" spans="1:8" ht="15" customHeight="1" x14ac:dyDescent="0.2">
      <c r="A45" s="7"/>
      <c r="B45" s="7"/>
    </row>
    <row r="46" spans="1:8" ht="15" customHeight="1" x14ac:dyDescent="0.2">
      <c r="A46" s="7"/>
      <c r="B46" s="7"/>
    </row>
    <row r="47" spans="1:8" ht="15" customHeight="1" x14ac:dyDescent="0.2">
      <c r="A47" s="7"/>
      <c r="B47" s="7"/>
    </row>
    <row r="48" spans="1:8" ht="15" customHeight="1" x14ac:dyDescent="0.2">
      <c r="A48" s="7"/>
      <c r="B48" s="7"/>
    </row>
    <row r="49" spans="1:2" ht="15" customHeight="1" x14ac:dyDescent="0.2">
      <c r="A49" s="7"/>
      <c r="B49" s="7"/>
    </row>
    <row r="50" spans="1:2" ht="15" customHeight="1" x14ac:dyDescent="0.2">
      <c r="A50" s="7"/>
      <c r="B50" s="7"/>
    </row>
    <row r="51" spans="1:2" ht="15" customHeight="1" x14ac:dyDescent="0.2"/>
    <row r="52" spans="1:2" ht="15" customHeight="1" x14ac:dyDescent="0.2"/>
  </sheetData>
  <sheetProtection algorithmName="SHA-512" hashValue="wxFZYYn69n7LMelYrXKFBD13FUufLqVBwpdeAA3MXzzJM0ZV9RwRXeOTmwoCJRdDRuwCvMzJse/gPrU/SrAm5g==" saltValue="0yT/89eYIdVdDCAqqeB3UA==" spinCount="100000" sheet="1" objects="1" scenarios="1"/>
  <mergeCells count="4">
    <mergeCell ref="A1:D1"/>
    <mergeCell ref="A7:G8"/>
    <mergeCell ref="J9:P14"/>
    <mergeCell ref="R9:X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50"/>
  <sheetViews>
    <sheetView showGridLines="0" showRuler="0" workbookViewId="0">
      <selection activeCell="E6" sqref="E6"/>
    </sheetView>
  </sheetViews>
  <sheetFormatPr defaultColWidth="13.140625" defaultRowHeight="12.75" x14ac:dyDescent="0.2"/>
  <cols>
    <col min="1" max="1" width="37" customWidth="1"/>
    <col min="2" max="6" width="20.85546875" customWidth="1"/>
    <col min="7" max="7" width="7.140625" customWidth="1"/>
    <col min="8" max="8" width="31.42578125" customWidth="1"/>
    <col min="9" max="13" width="19.85546875" customWidth="1"/>
  </cols>
  <sheetData>
    <row r="1" spans="1:14" ht="17.45" customHeight="1" x14ac:dyDescent="0.2">
      <c r="A1" s="734" t="s">
        <v>1007</v>
      </c>
      <c r="B1" s="734"/>
      <c r="C1" s="734"/>
      <c r="D1" s="734"/>
      <c r="E1" s="34"/>
      <c r="F1" s="23"/>
    </row>
    <row r="2" spans="1:14" x14ac:dyDescent="0.2">
      <c r="A2" s="24"/>
      <c r="B2" s="24"/>
      <c r="C2" s="24"/>
      <c r="D2" s="24"/>
      <c r="E2" s="24"/>
      <c r="F2" s="24"/>
    </row>
    <row r="3" spans="1:14" ht="48.2" customHeight="1" x14ac:dyDescent="0.2">
      <c r="A3" s="461" t="s">
        <v>1223</v>
      </c>
      <c r="B3" s="4" t="s">
        <v>1008</v>
      </c>
      <c r="C3" s="4" t="s">
        <v>1009</v>
      </c>
      <c r="D3" s="4" t="s">
        <v>1010</v>
      </c>
      <c r="E3" s="4" t="s">
        <v>1011</v>
      </c>
      <c r="F3" s="4" t="s">
        <v>1012</v>
      </c>
      <c r="G3" s="55"/>
      <c r="H3" s="458" t="s">
        <v>1224</v>
      </c>
      <c r="I3" s="4" t="s">
        <v>1008</v>
      </c>
      <c r="J3" s="4" t="s">
        <v>1009</v>
      </c>
      <c r="K3" s="400" t="s">
        <v>1010</v>
      </c>
      <c r="L3" s="400" t="s">
        <v>1011</v>
      </c>
      <c r="M3" s="400" t="s">
        <v>1012</v>
      </c>
      <c r="N3" s="26"/>
    </row>
    <row r="4" spans="1:14" ht="21.6" customHeight="1" x14ac:dyDescent="0.2">
      <c r="A4" s="54" t="s">
        <v>1013</v>
      </c>
      <c r="B4" s="250">
        <v>41</v>
      </c>
      <c r="C4" s="372">
        <v>281087</v>
      </c>
      <c r="D4" s="250">
        <v>121</v>
      </c>
      <c r="E4" s="372">
        <v>290992</v>
      </c>
      <c r="F4" s="373">
        <v>1</v>
      </c>
      <c r="G4" s="55"/>
      <c r="H4" s="54" t="s">
        <v>89</v>
      </c>
      <c r="I4" s="115">
        <v>127</v>
      </c>
      <c r="J4" s="372">
        <v>29652</v>
      </c>
      <c r="K4" s="412">
        <v>1240</v>
      </c>
      <c r="L4" s="413">
        <v>28022</v>
      </c>
      <c r="M4" s="414">
        <v>1.1000000000000001</v>
      </c>
      <c r="N4" s="26"/>
    </row>
    <row r="5" spans="1:14" ht="21.6" customHeight="1" x14ac:dyDescent="0.2">
      <c r="A5" s="54" t="s">
        <v>1014</v>
      </c>
      <c r="B5" s="250">
        <v>281</v>
      </c>
      <c r="C5" s="372">
        <v>89674</v>
      </c>
      <c r="D5" s="250">
        <v>1760</v>
      </c>
      <c r="E5" s="372">
        <v>113303</v>
      </c>
      <c r="F5" s="373">
        <v>0.8</v>
      </c>
      <c r="G5" s="55"/>
      <c r="H5" s="54" t="s">
        <v>76</v>
      </c>
      <c r="I5" s="115">
        <v>363</v>
      </c>
      <c r="J5" s="372">
        <v>83172</v>
      </c>
      <c r="K5" s="412">
        <v>1804</v>
      </c>
      <c r="L5" s="413">
        <v>94209</v>
      </c>
      <c r="M5" s="414">
        <v>0.9</v>
      </c>
      <c r="N5" s="26"/>
    </row>
    <row r="6" spans="1:14" ht="21.6" customHeight="1" x14ac:dyDescent="0.2">
      <c r="A6" s="54" t="s">
        <v>1015</v>
      </c>
      <c r="B6" s="250">
        <v>829</v>
      </c>
      <c r="C6" s="372">
        <v>78902</v>
      </c>
      <c r="D6" s="250">
        <v>2620</v>
      </c>
      <c r="E6" s="372">
        <v>91530</v>
      </c>
      <c r="F6" s="373">
        <v>0.9</v>
      </c>
      <c r="G6" s="55"/>
      <c r="H6" s="54" t="s">
        <v>82</v>
      </c>
      <c r="I6" s="115">
        <v>267</v>
      </c>
      <c r="J6" s="372">
        <v>71828</v>
      </c>
      <c r="K6" s="412">
        <v>1862</v>
      </c>
      <c r="L6" s="413">
        <v>73649</v>
      </c>
      <c r="M6" s="414">
        <v>1</v>
      </c>
      <c r="N6" s="26"/>
    </row>
    <row r="7" spans="1:14" ht="21.6" customHeight="1" x14ac:dyDescent="0.2">
      <c r="A7" s="54" t="s">
        <v>1016</v>
      </c>
      <c r="B7" s="250">
        <v>729</v>
      </c>
      <c r="C7" s="372">
        <v>32708</v>
      </c>
      <c r="D7" s="250">
        <v>8079</v>
      </c>
      <c r="E7" s="372">
        <v>31536</v>
      </c>
      <c r="F7" s="373">
        <v>1</v>
      </c>
      <c r="G7" s="55"/>
      <c r="H7" s="54" t="s">
        <v>72</v>
      </c>
      <c r="I7" s="115">
        <v>250</v>
      </c>
      <c r="J7" s="372">
        <v>23620</v>
      </c>
      <c r="K7" s="412">
        <v>1821</v>
      </c>
      <c r="L7" s="413">
        <v>25347</v>
      </c>
      <c r="M7" s="414">
        <v>0.9</v>
      </c>
      <c r="N7" s="26"/>
    </row>
    <row r="8" spans="1:14" ht="22.5" customHeight="1" x14ac:dyDescent="0.2">
      <c r="A8" s="563" t="s">
        <v>1017</v>
      </c>
      <c r="B8" s="575"/>
      <c r="C8" s="575"/>
      <c r="D8" s="575"/>
      <c r="E8" s="575"/>
      <c r="F8" s="575"/>
      <c r="H8" s="54" t="s">
        <v>97</v>
      </c>
      <c r="I8" s="115">
        <v>119</v>
      </c>
      <c r="J8" s="372">
        <v>48158</v>
      </c>
      <c r="K8" s="412">
        <v>1234</v>
      </c>
      <c r="L8" s="413">
        <v>40045</v>
      </c>
      <c r="M8" s="414">
        <v>1.2</v>
      </c>
      <c r="N8" s="26"/>
    </row>
    <row r="9" spans="1:14" ht="22.5" customHeight="1" x14ac:dyDescent="0.2">
      <c r="A9" s="23"/>
      <c r="B9" s="23"/>
      <c r="C9" s="23"/>
      <c r="D9" s="23"/>
      <c r="E9" s="23"/>
      <c r="F9" s="23"/>
      <c r="H9" s="54" t="s">
        <v>94</v>
      </c>
      <c r="I9" s="115">
        <v>201</v>
      </c>
      <c r="J9" s="372">
        <v>17513</v>
      </c>
      <c r="K9" s="412">
        <v>1141</v>
      </c>
      <c r="L9" s="413">
        <v>20074</v>
      </c>
      <c r="M9" s="414">
        <v>0.9</v>
      </c>
      <c r="N9" s="26"/>
    </row>
    <row r="10" spans="1:14" ht="22.5" customHeight="1" x14ac:dyDescent="0.2">
      <c r="A10" s="7"/>
      <c r="B10" s="7"/>
      <c r="C10" s="7"/>
      <c r="D10" s="7"/>
      <c r="E10" s="7"/>
      <c r="F10" s="7"/>
      <c r="H10" s="54" t="s">
        <v>79</v>
      </c>
      <c r="I10" s="115">
        <v>260</v>
      </c>
      <c r="J10" s="372">
        <v>127131</v>
      </c>
      <c r="K10" s="412">
        <v>832</v>
      </c>
      <c r="L10" s="413">
        <v>120284</v>
      </c>
      <c r="M10" s="414">
        <v>1.1000000000000001</v>
      </c>
      <c r="N10" s="26"/>
    </row>
    <row r="11" spans="1:14" ht="22.5" customHeight="1" x14ac:dyDescent="0.2">
      <c r="A11" s="7"/>
      <c r="B11" s="7"/>
      <c r="C11" s="7"/>
      <c r="D11" s="7"/>
      <c r="E11" s="7"/>
      <c r="F11" s="7"/>
      <c r="H11" s="54" t="s">
        <v>86</v>
      </c>
      <c r="I11" s="115">
        <v>280</v>
      </c>
      <c r="J11" s="372">
        <v>19824</v>
      </c>
      <c r="K11" s="412">
        <v>2571</v>
      </c>
      <c r="L11" s="413">
        <v>15823</v>
      </c>
      <c r="M11" s="414">
        <v>1.3</v>
      </c>
      <c r="N11" s="26"/>
    </row>
    <row r="12" spans="1:14" ht="22.5" customHeight="1" x14ac:dyDescent="0.2">
      <c r="A12" s="7"/>
      <c r="B12" s="7"/>
      <c r="C12" s="7"/>
      <c r="D12" s="7"/>
      <c r="E12" s="7"/>
      <c r="F12" s="7"/>
      <c r="H12" s="563" t="s">
        <v>1018</v>
      </c>
      <c r="I12" s="575"/>
      <c r="J12" s="575"/>
      <c r="K12" s="634"/>
      <c r="L12" s="634"/>
      <c r="M12" s="634"/>
    </row>
    <row r="13" spans="1:14" ht="21.6" customHeight="1" x14ac:dyDescent="0.2">
      <c r="A13" s="7"/>
      <c r="B13" s="7"/>
      <c r="C13" s="7"/>
      <c r="D13" s="7"/>
      <c r="E13" s="7"/>
      <c r="F13" s="7"/>
      <c r="H13" s="565"/>
      <c r="I13" s="565"/>
      <c r="J13" s="565"/>
      <c r="K13" s="635"/>
      <c r="L13" s="635"/>
      <c r="M13" s="635"/>
    </row>
    <row r="14" spans="1:14" ht="21.6" customHeight="1" x14ac:dyDescent="0.2">
      <c r="A14" s="7"/>
      <c r="B14" s="7"/>
      <c r="C14" s="7"/>
      <c r="D14" s="7"/>
      <c r="E14" s="7"/>
      <c r="F14" s="7"/>
    </row>
    <row r="15" spans="1:14" ht="21.6" customHeight="1" x14ac:dyDescent="0.2">
      <c r="A15" s="7"/>
      <c r="B15" s="7"/>
      <c r="C15" s="7"/>
      <c r="D15" s="7"/>
      <c r="E15" s="7"/>
      <c r="F15" s="7"/>
    </row>
    <row r="16" spans="1:14" ht="21.6" customHeight="1" x14ac:dyDescent="0.2">
      <c r="A16" s="7"/>
      <c r="B16" s="7"/>
      <c r="C16" s="7"/>
      <c r="D16" s="7"/>
      <c r="E16" s="7"/>
      <c r="F16" s="7"/>
    </row>
    <row r="17" spans="1:6" ht="21.6" customHeight="1" x14ac:dyDescent="0.2">
      <c r="A17" s="7"/>
      <c r="B17" s="7"/>
      <c r="C17" s="7"/>
      <c r="D17" s="7"/>
      <c r="E17" s="7"/>
      <c r="F17" s="7"/>
    </row>
    <row r="18" spans="1:6" ht="21.6" customHeight="1" x14ac:dyDescent="0.2">
      <c r="A18" s="7"/>
      <c r="B18" s="7"/>
      <c r="C18" s="7"/>
      <c r="D18" s="7"/>
      <c r="E18" s="7"/>
      <c r="F18" s="7"/>
    </row>
    <row r="19" spans="1:6" ht="37.5" customHeight="1" x14ac:dyDescent="0.2">
      <c r="A19" s="7"/>
    </row>
    <row r="20" spans="1:6" ht="29.1" customHeight="1" x14ac:dyDescent="0.2"/>
    <row r="21" spans="1:6" ht="14.1" customHeight="1" x14ac:dyDescent="0.2">
      <c r="A21" s="23"/>
      <c r="B21" s="23"/>
      <c r="C21" s="23"/>
      <c r="D21" s="23"/>
      <c r="E21" s="23"/>
      <c r="F21" s="23"/>
    </row>
    <row r="22" spans="1:6" ht="14.1" customHeight="1" x14ac:dyDescent="0.2">
      <c r="A22" s="23"/>
      <c r="B22" s="23"/>
      <c r="C22" s="23"/>
      <c r="D22" s="23"/>
      <c r="E22" s="23"/>
      <c r="F22" s="23"/>
    </row>
    <row r="23" spans="1:6" ht="14.1" customHeight="1" x14ac:dyDescent="0.2">
      <c r="A23" s="23"/>
      <c r="B23" s="23"/>
      <c r="C23" s="23"/>
      <c r="D23" s="23"/>
      <c r="E23" s="23"/>
      <c r="F23" s="23"/>
    </row>
    <row r="24" spans="1:6" ht="14.1" customHeight="1" x14ac:dyDescent="0.2">
      <c r="A24" s="23"/>
      <c r="B24" s="23"/>
      <c r="C24" s="23"/>
      <c r="D24" s="23"/>
      <c r="E24" s="23"/>
      <c r="F24" s="23"/>
    </row>
    <row r="25" spans="1:6" ht="14.1" customHeight="1" x14ac:dyDescent="0.2">
      <c r="A25" s="23"/>
      <c r="B25" s="23"/>
      <c r="C25" s="23"/>
      <c r="D25" s="23"/>
      <c r="E25" s="23"/>
      <c r="F25" s="23"/>
    </row>
    <row r="26" spans="1:6" ht="14.1" customHeight="1" x14ac:dyDescent="0.2">
      <c r="A26" s="23"/>
      <c r="B26" s="23"/>
      <c r="C26" s="23"/>
      <c r="D26" s="23"/>
      <c r="E26" s="23"/>
      <c r="F26" s="23"/>
    </row>
    <row r="27" spans="1:6" ht="14.1" customHeight="1" x14ac:dyDescent="0.2">
      <c r="A27" s="23"/>
      <c r="B27" s="23"/>
      <c r="C27" s="23"/>
      <c r="D27" s="23"/>
      <c r="E27" s="23"/>
      <c r="F27" s="23"/>
    </row>
    <row r="28" spans="1:6" ht="14.1" customHeight="1" x14ac:dyDescent="0.2">
      <c r="A28" s="23"/>
      <c r="B28" s="23"/>
      <c r="C28" s="23"/>
      <c r="D28" s="33"/>
      <c r="E28" s="23"/>
      <c r="F28" s="23"/>
    </row>
    <row r="29" spans="1:6" ht="15" customHeight="1" x14ac:dyDescent="0.2"/>
    <row r="30" spans="1:6" ht="15" customHeight="1" x14ac:dyDescent="0.2"/>
    <row r="31" spans="1:6" ht="15" customHeight="1" x14ac:dyDescent="0.2"/>
    <row r="32" spans="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sheetProtection algorithmName="SHA-512" hashValue="A/gnopgeWPddJtx22rsld6gqMn29GHo2TE0Z6R5Nl/waNIG0gjYf9LTbOPrCn0JCF1OjFFwCB1+VzxgfQ0rJqA==" saltValue="bXNedFNW54MULBLn3ehvAw==" spinCount="100000" sheet="1" objects="1" scenarios="1"/>
  <mergeCells count="3">
    <mergeCell ref="A1:D1"/>
    <mergeCell ref="A8:F8"/>
    <mergeCell ref="H12:M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B58"/>
  <sheetViews>
    <sheetView showGridLines="0" showRuler="0" workbookViewId="0">
      <selection activeCell="H7" sqref="H7"/>
    </sheetView>
  </sheetViews>
  <sheetFormatPr defaultColWidth="13.140625" defaultRowHeight="12.75" x14ac:dyDescent="0.2"/>
  <cols>
    <col min="1" max="1" width="30.140625" customWidth="1"/>
    <col min="2" max="4" width="16.140625" customWidth="1"/>
    <col min="5" max="5" width="7" customWidth="1"/>
    <col min="6" max="6" width="29.28515625" customWidth="1"/>
    <col min="7" max="9" width="16.140625" customWidth="1"/>
    <col min="10" max="10" width="8" customWidth="1"/>
    <col min="11" max="11" width="33.140625" customWidth="1"/>
    <col min="12" max="12" width="17.28515625" hidden="1" customWidth="1"/>
    <col min="13" max="17" width="17.28515625" customWidth="1"/>
    <col min="19" max="19" width="43.85546875" customWidth="1"/>
    <col min="20" max="27" width="17.42578125" customWidth="1"/>
    <col min="28" max="29" width="21.28515625" customWidth="1"/>
    <col min="30" max="30" width="26.7109375" customWidth="1"/>
    <col min="31" max="31" width="21.28515625" customWidth="1"/>
  </cols>
  <sheetData>
    <row r="1" spans="1:28" ht="14.25" customHeight="1" x14ac:dyDescent="0.25">
      <c r="A1" s="560" t="s">
        <v>1019</v>
      </c>
      <c r="B1" s="560"/>
      <c r="C1" s="560"/>
      <c r="D1" s="23"/>
      <c r="E1" s="23"/>
      <c r="F1" s="23"/>
      <c r="G1" s="23"/>
      <c r="H1" s="23"/>
      <c r="I1" s="23"/>
      <c r="J1" s="23"/>
      <c r="K1" s="23"/>
      <c r="L1" s="23"/>
      <c r="M1" s="23"/>
      <c r="N1" s="23"/>
      <c r="O1" s="23"/>
    </row>
    <row r="2" spans="1:28" x14ac:dyDescent="0.2">
      <c r="A2" s="24"/>
      <c r="B2" s="24"/>
      <c r="C2" s="24"/>
      <c r="D2" s="24"/>
      <c r="E2" s="23"/>
      <c r="F2" s="24"/>
      <c r="G2" s="24"/>
      <c r="H2" s="24"/>
      <c r="I2" s="24"/>
      <c r="J2" s="23"/>
      <c r="K2" s="24"/>
      <c r="L2" s="242"/>
      <c r="M2" s="24"/>
      <c r="N2" s="24"/>
      <c r="O2" s="24"/>
    </row>
    <row r="3" spans="1:28" ht="39.75" x14ac:dyDescent="0.2">
      <c r="A3" s="456" t="s">
        <v>1225</v>
      </c>
      <c r="B3" s="4" t="s">
        <v>1020</v>
      </c>
      <c r="C3" s="4" t="s">
        <v>1021</v>
      </c>
      <c r="D3" s="4" t="s">
        <v>90</v>
      </c>
      <c r="E3" s="291"/>
      <c r="F3" s="461" t="s">
        <v>1226</v>
      </c>
      <c r="G3" s="4" t="s">
        <v>1020</v>
      </c>
      <c r="H3" s="4" t="s">
        <v>1021</v>
      </c>
      <c r="I3" s="400" t="s">
        <v>90</v>
      </c>
      <c r="J3" s="291"/>
      <c r="K3" s="461" t="s">
        <v>1227</v>
      </c>
      <c r="L3" s="37">
        <v>2015</v>
      </c>
      <c r="M3" s="37">
        <v>2016</v>
      </c>
      <c r="N3" s="37">
        <v>2017</v>
      </c>
      <c r="O3" s="37">
        <v>2018</v>
      </c>
      <c r="P3" s="37">
        <v>2019</v>
      </c>
      <c r="Q3" s="37">
        <v>2020</v>
      </c>
      <c r="R3" s="55"/>
      <c r="S3" s="458" t="s">
        <v>1228</v>
      </c>
      <c r="T3" s="4" t="s">
        <v>1022</v>
      </c>
      <c r="U3" s="4" t="s">
        <v>1023</v>
      </c>
      <c r="V3" s="4" t="s">
        <v>1024</v>
      </c>
      <c r="W3" s="4" t="s">
        <v>1025</v>
      </c>
      <c r="X3" s="4" t="s">
        <v>1026</v>
      </c>
      <c r="Y3" s="4" t="s">
        <v>1027</v>
      </c>
      <c r="Z3" s="4" t="s">
        <v>1028</v>
      </c>
      <c r="AA3" s="4" t="s">
        <v>1029</v>
      </c>
      <c r="AB3" s="26"/>
    </row>
    <row r="4" spans="1:28" ht="21.6" customHeight="1" x14ac:dyDescent="0.2">
      <c r="A4" s="6" t="s">
        <v>72</v>
      </c>
      <c r="B4" s="374">
        <v>256</v>
      </c>
      <c r="C4" s="374">
        <v>1847</v>
      </c>
      <c r="D4" s="375">
        <v>2103</v>
      </c>
      <c r="E4" s="291"/>
      <c r="F4" s="54" t="s">
        <v>1030</v>
      </c>
      <c r="G4" s="115">
        <v>41</v>
      </c>
      <c r="H4" s="115">
        <v>121</v>
      </c>
      <c r="I4" s="412">
        <v>162</v>
      </c>
      <c r="J4" s="291"/>
      <c r="K4" s="54" t="s">
        <v>1031</v>
      </c>
      <c r="L4" s="343">
        <v>0.3</v>
      </c>
      <c r="M4" s="343">
        <v>0.3</v>
      </c>
      <c r="N4" s="343">
        <v>0.41699999999999998</v>
      </c>
      <c r="O4" s="343">
        <v>0.41699999999999998</v>
      </c>
      <c r="P4" s="343">
        <v>0.4</v>
      </c>
      <c r="Q4" s="376">
        <v>0.45500000000000002</v>
      </c>
      <c r="R4" s="55"/>
      <c r="S4" s="54" t="s">
        <v>1030</v>
      </c>
      <c r="T4" s="115">
        <v>0</v>
      </c>
      <c r="U4" s="162">
        <v>0</v>
      </c>
      <c r="V4" s="53">
        <v>87</v>
      </c>
      <c r="W4" s="48" t="s">
        <v>1032</v>
      </c>
      <c r="X4" s="53">
        <v>75</v>
      </c>
      <c r="Y4" s="48" t="s">
        <v>1032</v>
      </c>
      <c r="Z4" s="378">
        <v>162</v>
      </c>
      <c r="AA4" s="343">
        <v>0.01</v>
      </c>
      <c r="AB4" s="26"/>
    </row>
    <row r="5" spans="1:28" ht="21.6" customHeight="1" x14ac:dyDescent="0.2">
      <c r="A5" s="6" t="s">
        <v>916</v>
      </c>
      <c r="B5" s="374">
        <v>3</v>
      </c>
      <c r="C5" s="374">
        <v>13</v>
      </c>
      <c r="D5" s="375">
        <v>16</v>
      </c>
      <c r="E5" s="291"/>
      <c r="F5" s="54" t="s">
        <v>1033</v>
      </c>
      <c r="G5" s="115">
        <v>281</v>
      </c>
      <c r="H5" s="115">
        <v>1760</v>
      </c>
      <c r="I5" s="412">
        <v>2041</v>
      </c>
      <c r="J5" s="291"/>
      <c r="K5" s="54" t="s">
        <v>1034</v>
      </c>
      <c r="L5" s="343">
        <v>0.33</v>
      </c>
      <c r="M5" s="343">
        <v>0.33300000000000002</v>
      </c>
      <c r="N5" s="343">
        <v>0.33300000000000002</v>
      </c>
      <c r="O5" s="343">
        <v>0.25</v>
      </c>
      <c r="P5" s="343">
        <v>0.44400000000000001</v>
      </c>
      <c r="Q5" s="376">
        <v>0.42899999999999999</v>
      </c>
      <c r="R5" s="55"/>
      <c r="S5" s="54" t="s">
        <v>1033</v>
      </c>
      <c r="T5" s="115">
        <v>47</v>
      </c>
      <c r="U5" s="48" t="s">
        <v>1032</v>
      </c>
      <c r="V5" s="53">
        <v>1513</v>
      </c>
      <c r="W5" s="162">
        <v>0.1</v>
      </c>
      <c r="X5" s="53">
        <v>474</v>
      </c>
      <c r="Y5" s="521">
        <v>0.03</v>
      </c>
      <c r="Z5" s="378">
        <v>2034</v>
      </c>
      <c r="AA5" s="343">
        <v>0.14000000000000001</v>
      </c>
      <c r="AB5" s="26"/>
    </row>
    <row r="6" spans="1:28" ht="21.6" customHeight="1" x14ac:dyDescent="0.2">
      <c r="A6" s="6" t="s">
        <v>76</v>
      </c>
      <c r="B6" s="374">
        <v>363</v>
      </c>
      <c r="C6" s="374">
        <v>1804</v>
      </c>
      <c r="D6" s="375">
        <v>2167</v>
      </c>
      <c r="E6" s="291"/>
      <c r="F6" s="54" t="s">
        <v>1035</v>
      </c>
      <c r="G6" s="115">
        <v>829</v>
      </c>
      <c r="H6" s="115">
        <v>2620</v>
      </c>
      <c r="I6" s="412">
        <v>3449</v>
      </c>
      <c r="J6" s="291"/>
      <c r="K6" s="54" t="s">
        <v>1030</v>
      </c>
      <c r="L6" s="343">
        <v>0.15</v>
      </c>
      <c r="M6" s="343">
        <v>0.16300000000000001</v>
      </c>
      <c r="N6" s="343">
        <v>0.17399999999999999</v>
      </c>
      <c r="O6" s="343">
        <v>0.19500000000000001</v>
      </c>
      <c r="P6" s="343">
        <v>0.21</v>
      </c>
      <c r="Q6" s="376">
        <v>0.253</v>
      </c>
      <c r="R6" s="55"/>
      <c r="S6" s="54" t="s">
        <v>1035</v>
      </c>
      <c r="T6" s="115">
        <v>510</v>
      </c>
      <c r="U6" s="377">
        <v>0.04</v>
      </c>
      <c r="V6" s="115">
        <v>2435</v>
      </c>
      <c r="W6" s="377">
        <v>0.17</v>
      </c>
      <c r="X6" s="115">
        <v>502</v>
      </c>
      <c r="Y6" s="343">
        <v>0.03</v>
      </c>
      <c r="Z6" s="378">
        <v>3447</v>
      </c>
      <c r="AA6" s="343">
        <v>0.24</v>
      </c>
      <c r="AB6" s="26"/>
    </row>
    <row r="7" spans="1:28" ht="21.6" customHeight="1" x14ac:dyDescent="0.2">
      <c r="A7" s="6" t="s">
        <v>79</v>
      </c>
      <c r="B7" s="374">
        <v>254</v>
      </c>
      <c r="C7" s="374">
        <v>786</v>
      </c>
      <c r="D7" s="375">
        <v>1040</v>
      </c>
      <c r="E7" s="291"/>
      <c r="F7" s="54" t="s">
        <v>1036</v>
      </c>
      <c r="G7" s="115">
        <v>729</v>
      </c>
      <c r="H7" s="115">
        <v>8079</v>
      </c>
      <c r="I7" s="412">
        <v>8808</v>
      </c>
      <c r="J7" s="291"/>
      <c r="K7" s="54" t="s">
        <v>1033</v>
      </c>
      <c r="L7" s="343">
        <v>0.09</v>
      </c>
      <c r="M7" s="343">
        <v>0.122</v>
      </c>
      <c r="N7" s="343">
        <v>0.13600000000000001</v>
      </c>
      <c r="O7" s="343">
        <v>0.14599999999999999</v>
      </c>
      <c r="P7" s="343">
        <v>0.14000000000000001</v>
      </c>
      <c r="Q7" s="376">
        <v>0.13800000000000001</v>
      </c>
      <c r="R7" s="55"/>
      <c r="S7" s="54" t="s">
        <v>1036</v>
      </c>
      <c r="T7" s="115">
        <v>1401</v>
      </c>
      <c r="U7" s="377">
        <v>0.1</v>
      </c>
      <c r="V7" s="115">
        <v>5834</v>
      </c>
      <c r="W7" s="377">
        <v>0.4</v>
      </c>
      <c r="X7" s="115">
        <v>1556</v>
      </c>
      <c r="Y7" s="343">
        <v>0.11</v>
      </c>
      <c r="Z7" s="378">
        <v>8791</v>
      </c>
      <c r="AA7" s="343">
        <v>0.61</v>
      </c>
      <c r="AB7" s="26"/>
    </row>
    <row r="8" spans="1:28" ht="21.6" customHeight="1" x14ac:dyDescent="0.2">
      <c r="A8" s="6" t="s">
        <v>82</v>
      </c>
      <c r="B8" s="374">
        <v>266</v>
      </c>
      <c r="C8" s="374">
        <v>1855</v>
      </c>
      <c r="D8" s="375">
        <v>2121</v>
      </c>
      <c r="E8" s="291"/>
      <c r="F8" s="54" t="s">
        <v>90</v>
      </c>
      <c r="G8" s="111">
        <v>1880</v>
      </c>
      <c r="H8" s="111">
        <v>12580</v>
      </c>
      <c r="I8" s="415">
        <v>14460</v>
      </c>
      <c r="J8" s="291"/>
      <c r="K8" s="54" t="s">
        <v>1035</v>
      </c>
      <c r="L8" s="343">
        <v>0.23</v>
      </c>
      <c r="M8" s="343">
        <v>0.253</v>
      </c>
      <c r="N8" s="343">
        <v>0.25</v>
      </c>
      <c r="O8" s="343">
        <v>0.247</v>
      </c>
      <c r="P8" s="343">
        <v>0.26500000000000001</v>
      </c>
      <c r="Q8" s="376">
        <v>0.24</v>
      </c>
      <c r="R8" s="55"/>
      <c r="S8" s="54" t="s">
        <v>90</v>
      </c>
      <c r="T8" s="111">
        <v>1958</v>
      </c>
      <c r="U8" s="379">
        <v>0.14000000000000001</v>
      </c>
      <c r="V8" s="111">
        <v>9869</v>
      </c>
      <c r="W8" s="379">
        <v>0.68</v>
      </c>
      <c r="X8" s="111">
        <v>2607</v>
      </c>
      <c r="Y8" s="379">
        <v>0.18</v>
      </c>
      <c r="Z8" s="111">
        <v>14434</v>
      </c>
      <c r="AA8" s="379">
        <v>1</v>
      </c>
      <c r="AB8" s="26"/>
    </row>
    <row r="9" spans="1:28" ht="25.7" customHeight="1" x14ac:dyDescent="0.2">
      <c r="A9" s="6" t="s">
        <v>86</v>
      </c>
      <c r="B9" s="374">
        <v>280</v>
      </c>
      <c r="C9" s="374">
        <v>2571</v>
      </c>
      <c r="D9" s="375">
        <v>2851</v>
      </c>
      <c r="E9" s="181"/>
      <c r="F9" s="563" t="s">
        <v>1037</v>
      </c>
      <c r="G9" s="575"/>
      <c r="H9" s="575"/>
      <c r="I9" s="575"/>
      <c r="J9" s="292"/>
      <c r="K9" s="54" t="s">
        <v>1036</v>
      </c>
      <c r="L9" s="343">
        <v>0.08</v>
      </c>
      <c r="M9" s="343">
        <v>0.11799999999999999</v>
      </c>
      <c r="N9" s="343">
        <v>0.115</v>
      </c>
      <c r="O9" s="343">
        <v>0.125</v>
      </c>
      <c r="P9" s="343">
        <v>9.8000000000000004E-2</v>
      </c>
      <c r="Q9" s="376">
        <v>8.3000000000000004E-2</v>
      </c>
      <c r="R9" s="26"/>
      <c r="S9" s="566" t="s">
        <v>1038</v>
      </c>
      <c r="T9" s="575"/>
      <c r="U9" s="575"/>
      <c r="V9" s="575"/>
      <c r="W9" s="575"/>
      <c r="X9" s="575"/>
      <c r="Y9" s="575"/>
      <c r="Z9" s="575"/>
      <c r="AA9" s="575"/>
    </row>
    <row r="10" spans="1:28" ht="21.6" customHeight="1" x14ac:dyDescent="0.2">
      <c r="A10" s="6" t="s">
        <v>89</v>
      </c>
      <c r="B10" s="374">
        <v>127</v>
      </c>
      <c r="C10" s="374">
        <v>1240</v>
      </c>
      <c r="D10" s="375">
        <v>1367</v>
      </c>
      <c r="E10" s="181"/>
      <c r="F10" s="34"/>
      <c r="G10" s="34"/>
      <c r="H10" s="34"/>
      <c r="I10" s="34"/>
      <c r="J10" s="292"/>
      <c r="K10" s="54" t="s">
        <v>1039</v>
      </c>
      <c r="L10" s="354">
        <v>0.11</v>
      </c>
      <c r="M10" s="354">
        <v>0.14799999999999999</v>
      </c>
      <c r="N10" s="354">
        <v>0.154</v>
      </c>
      <c r="O10" s="354">
        <v>0.157</v>
      </c>
      <c r="P10" s="354">
        <v>0.14599999999999999</v>
      </c>
      <c r="Q10" s="354">
        <v>0.13</v>
      </c>
      <c r="R10" s="26"/>
    </row>
    <row r="11" spans="1:28" ht="21.6" customHeight="1" x14ac:dyDescent="0.2">
      <c r="A11" s="6" t="s">
        <v>94</v>
      </c>
      <c r="B11" s="374">
        <v>201</v>
      </c>
      <c r="C11" s="374">
        <v>1141</v>
      </c>
      <c r="D11" s="375">
        <v>1342</v>
      </c>
      <c r="E11" s="181"/>
      <c r="F11" s="34"/>
      <c r="G11" s="34"/>
      <c r="H11" s="34"/>
      <c r="I11" s="34"/>
      <c r="J11" s="34"/>
      <c r="K11" s="563" t="s">
        <v>1040</v>
      </c>
      <c r="L11" s="563"/>
      <c r="M11" s="563"/>
      <c r="N11" s="563"/>
      <c r="O11" s="563"/>
      <c r="P11" s="563"/>
      <c r="Q11" s="563"/>
    </row>
    <row r="12" spans="1:28" ht="34.15" customHeight="1" x14ac:dyDescent="0.2">
      <c r="A12" s="6" t="s">
        <v>97</v>
      </c>
      <c r="B12" s="374">
        <v>119</v>
      </c>
      <c r="C12" s="374">
        <v>1234</v>
      </c>
      <c r="D12" s="375">
        <v>1353</v>
      </c>
      <c r="E12" s="181"/>
      <c r="F12" s="34"/>
      <c r="G12" s="34"/>
      <c r="H12" s="34"/>
      <c r="I12" s="34"/>
      <c r="J12" s="34"/>
      <c r="K12" s="564"/>
      <c r="L12" s="564"/>
      <c r="M12" s="564"/>
      <c r="N12" s="564"/>
      <c r="O12" s="564"/>
      <c r="P12" s="564"/>
      <c r="Q12" s="564"/>
    </row>
    <row r="13" spans="1:28" ht="21.6" customHeight="1" x14ac:dyDescent="0.2">
      <c r="A13" s="6" t="s">
        <v>1041</v>
      </c>
      <c r="B13" s="374">
        <v>14</v>
      </c>
      <c r="C13" s="374">
        <v>108</v>
      </c>
      <c r="D13" s="375">
        <v>122</v>
      </c>
      <c r="E13" s="181"/>
      <c r="F13" s="34"/>
      <c r="G13" s="34"/>
      <c r="H13" s="34"/>
      <c r="I13" s="34"/>
      <c r="J13" s="34"/>
      <c r="K13" s="34"/>
    </row>
    <row r="14" spans="1:28" ht="21.6" customHeight="1" x14ac:dyDescent="0.2">
      <c r="A14" s="6" t="s">
        <v>548</v>
      </c>
      <c r="B14" s="374">
        <v>3</v>
      </c>
      <c r="C14" s="374">
        <v>7</v>
      </c>
      <c r="D14" s="375">
        <v>10</v>
      </c>
      <c r="E14" s="181"/>
      <c r="F14" s="34"/>
      <c r="G14" s="34"/>
      <c r="H14" s="34"/>
      <c r="I14" s="34"/>
      <c r="J14" s="34"/>
      <c r="K14" s="34"/>
    </row>
    <row r="15" spans="1:28" ht="21.6" customHeight="1" x14ac:dyDescent="0.2">
      <c r="A15" s="6" t="s">
        <v>90</v>
      </c>
      <c r="B15" s="375">
        <v>1880</v>
      </c>
      <c r="C15" s="375">
        <v>12580</v>
      </c>
      <c r="D15" s="375">
        <v>14460</v>
      </c>
      <c r="E15" s="181"/>
      <c r="F15" s="34"/>
      <c r="G15" s="34"/>
      <c r="H15" s="34"/>
      <c r="I15" s="34"/>
      <c r="J15" s="34"/>
      <c r="K15" s="34"/>
    </row>
    <row r="16" spans="1:28" ht="21.6" customHeight="1" x14ac:dyDescent="0.2">
      <c r="A16" s="563" t="s">
        <v>1042</v>
      </c>
      <c r="B16" s="563"/>
      <c r="C16" s="563"/>
      <c r="D16" s="563"/>
      <c r="E16" s="34"/>
      <c r="F16" s="34"/>
      <c r="G16" s="34"/>
      <c r="H16" s="34"/>
      <c r="I16" s="34"/>
      <c r="J16" s="34"/>
      <c r="K16" s="34"/>
    </row>
    <row r="17" spans="1:11" ht="29.1" customHeight="1" x14ac:dyDescent="0.2">
      <c r="A17" s="564"/>
      <c r="B17" s="564"/>
      <c r="C17" s="564"/>
      <c r="D17" s="564"/>
      <c r="E17" s="34"/>
      <c r="F17" s="34"/>
      <c r="G17" s="34"/>
      <c r="H17" s="34"/>
      <c r="I17" s="34"/>
      <c r="J17" s="34"/>
      <c r="K17" s="34"/>
    </row>
    <row r="18" spans="1:11" ht="22.5" customHeight="1" x14ac:dyDescent="0.2">
      <c r="E18" s="34"/>
      <c r="F18" s="34"/>
      <c r="G18" s="34"/>
      <c r="H18" s="34"/>
      <c r="I18" s="34"/>
      <c r="J18" s="34"/>
      <c r="K18" s="34"/>
    </row>
    <row r="19" spans="1:11" ht="22.5" customHeight="1" x14ac:dyDescent="0.2">
      <c r="E19" s="34"/>
      <c r="F19" s="34"/>
      <c r="G19" s="34"/>
      <c r="H19" s="34"/>
      <c r="I19" s="34"/>
      <c r="J19" s="34"/>
      <c r="K19" s="34"/>
    </row>
    <row r="20" spans="1:11" ht="22.5" customHeight="1" x14ac:dyDescent="0.2">
      <c r="E20" s="34"/>
      <c r="F20" s="34"/>
      <c r="G20" s="34"/>
      <c r="H20" s="34"/>
      <c r="I20" s="34"/>
      <c r="J20" s="34"/>
      <c r="K20" s="34"/>
    </row>
    <row r="21" spans="1:11" ht="22.5" customHeight="1" x14ac:dyDescent="0.2">
      <c r="E21" s="34"/>
      <c r="F21" s="34"/>
      <c r="G21" s="34"/>
      <c r="H21" s="34"/>
      <c r="I21" s="34"/>
      <c r="J21" s="34"/>
      <c r="K21" s="34"/>
    </row>
    <row r="22" spans="1:11" ht="22.5" customHeight="1" x14ac:dyDescent="0.2">
      <c r="E22" s="34"/>
      <c r="F22" s="34"/>
      <c r="G22" s="34"/>
      <c r="H22" s="34"/>
      <c r="I22" s="34"/>
      <c r="J22" s="34"/>
      <c r="K22" s="34"/>
    </row>
    <row r="23" spans="1:11" ht="22.5" customHeight="1" x14ac:dyDescent="0.2">
      <c r="E23" s="34"/>
      <c r="F23" s="34"/>
      <c r="G23" s="34"/>
      <c r="H23" s="34"/>
      <c r="I23" s="34"/>
      <c r="J23" s="34"/>
      <c r="K23" s="34"/>
    </row>
    <row r="24" spans="1:11" ht="22.5" customHeight="1" x14ac:dyDescent="0.2">
      <c r="E24" s="34"/>
      <c r="F24" s="34"/>
      <c r="G24" s="34"/>
      <c r="H24" s="34"/>
      <c r="I24" s="34"/>
      <c r="J24" s="34"/>
      <c r="K24" s="34"/>
    </row>
    <row r="25" spans="1:11" ht="22.5" customHeight="1" x14ac:dyDescent="0.2">
      <c r="E25" s="23"/>
      <c r="F25" s="23"/>
      <c r="G25" s="23"/>
      <c r="H25" s="23"/>
      <c r="I25" s="23"/>
      <c r="J25" s="23"/>
      <c r="K25" s="23"/>
    </row>
    <row r="26" spans="1:11" ht="22.5" customHeight="1" x14ac:dyDescent="0.2">
      <c r="E26" s="34"/>
      <c r="F26" s="34"/>
      <c r="G26" s="34"/>
      <c r="H26" s="34"/>
      <c r="I26" s="34"/>
      <c r="J26" s="34"/>
      <c r="K26" s="34"/>
    </row>
    <row r="27" spans="1:11" ht="22.5" customHeight="1" x14ac:dyDescent="0.2">
      <c r="F27" s="7"/>
      <c r="G27" s="34"/>
      <c r="H27" s="34"/>
      <c r="I27" s="34"/>
      <c r="J27" s="34"/>
      <c r="K27" s="23"/>
    </row>
    <row r="28" spans="1:11" ht="22.5" customHeight="1" x14ac:dyDescent="0.2">
      <c r="F28" s="7"/>
      <c r="G28" s="34"/>
      <c r="H28" s="34"/>
      <c r="I28" s="34"/>
      <c r="J28" s="34"/>
      <c r="K28" s="23"/>
    </row>
    <row r="29" spans="1:11" ht="22.5" customHeight="1" x14ac:dyDescent="0.2">
      <c r="F29" s="7"/>
      <c r="G29" s="34"/>
      <c r="H29" s="34"/>
      <c r="I29" s="34"/>
      <c r="J29" s="34"/>
      <c r="K29" s="23"/>
    </row>
    <row r="30" spans="1:11" ht="22.5" customHeight="1" x14ac:dyDescent="0.2">
      <c r="F30" s="7"/>
      <c r="G30" s="34"/>
      <c r="H30" s="34"/>
      <c r="I30" s="34"/>
      <c r="J30" s="34"/>
      <c r="K30" s="23"/>
    </row>
    <row r="31" spans="1:11" ht="22.5" customHeight="1" x14ac:dyDescent="0.2">
      <c r="F31" s="7"/>
      <c r="G31" s="34"/>
      <c r="H31" s="34"/>
      <c r="I31" s="34"/>
      <c r="J31" s="34"/>
      <c r="K31" s="23"/>
    </row>
    <row r="32" spans="1:11" ht="22.5" customHeight="1" x14ac:dyDescent="0.2">
      <c r="F32" s="7"/>
      <c r="G32" s="34"/>
      <c r="H32" s="34"/>
      <c r="I32" s="34"/>
      <c r="J32" s="34"/>
      <c r="K32" s="23"/>
    </row>
    <row r="33" spans="5:11" ht="22.5" customHeight="1" x14ac:dyDescent="0.2">
      <c r="F33" s="7"/>
      <c r="G33" s="34"/>
      <c r="H33" s="34"/>
      <c r="I33" s="34"/>
      <c r="J33" s="34"/>
      <c r="K33" s="23"/>
    </row>
    <row r="34" spans="5:11" ht="22.5" customHeight="1" x14ac:dyDescent="0.2">
      <c r="F34" s="7"/>
      <c r="G34" s="34"/>
      <c r="H34" s="34"/>
      <c r="I34" s="34"/>
      <c r="J34" s="34"/>
      <c r="K34" s="23"/>
    </row>
    <row r="35" spans="5:11" ht="22.5" customHeight="1" x14ac:dyDescent="0.2">
      <c r="G35" s="34"/>
      <c r="H35" s="34"/>
      <c r="I35" s="34"/>
      <c r="J35" s="34"/>
      <c r="K35" s="23"/>
    </row>
    <row r="36" spans="5:11" ht="22.5" customHeight="1" x14ac:dyDescent="0.2">
      <c r="G36" s="34"/>
      <c r="H36" s="34"/>
      <c r="I36" s="34"/>
      <c r="J36" s="34"/>
      <c r="K36" s="23"/>
    </row>
    <row r="37" spans="5:11" ht="22.5" customHeight="1" x14ac:dyDescent="0.2">
      <c r="E37" s="34"/>
      <c r="F37" s="34"/>
      <c r="G37" s="34"/>
      <c r="H37" s="34"/>
      <c r="I37" s="34"/>
      <c r="J37" s="34"/>
      <c r="K37" s="23"/>
    </row>
    <row r="38" spans="5:11" ht="22.5" customHeight="1" x14ac:dyDescent="0.2">
      <c r="F38" s="7"/>
      <c r="G38" s="7"/>
      <c r="H38" s="7"/>
      <c r="I38" s="7"/>
      <c r="J38" s="34"/>
      <c r="K38" s="23"/>
    </row>
    <row r="39" spans="5:11" ht="22.5" customHeight="1" x14ac:dyDescent="0.2">
      <c r="F39" s="7"/>
      <c r="G39" s="7"/>
      <c r="H39" s="7"/>
      <c r="I39" s="7"/>
      <c r="J39" s="34"/>
      <c r="K39" s="23"/>
    </row>
    <row r="40" spans="5:11" ht="22.5" customHeight="1" x14ac:dyDescent="0.2">
      <c r="F40" s="7"/>
      <c r="G40" s="7"/>
      <c r="H40" s="7"/>
      <c r="I40" s="7"/>
      <c r="J40" s="34"/>
      <c r="K40" s="23"/>
    </row>
    <row r="41" spans="5:11" ht="22.5" customHeight="1" x14ac:dyDescent="0.2">
      <c r="F41" s="7"/>
      <c r="G41" s="7"/>
      <c r="H41" s="7"/>
      <c r="I41" s="7"/>
      <c r="J41" s="34"/>
      <c r="K41" s="23"/>
    </row>
    <row r="42" spans="5:11" ht="22.5" customHeight="1" x14ac:dyDescent="0.2">
      <c r="F42" s="7"/>
      <c r="G42" s="7"/>
      <c r="H42" s="7"/>
      <c r="I42" s="7"/>
      <c r="J42" s="34"/>
      <c r="K42" s="23"/>
    </row>
    <row r="43" spans="5:11" ht="22.5" customHeight="1" x14ac:dyDescent="0.2">
      <c r="F43" s="7"/>
      <c r="G43" s="7"/>
      <c r="H43" s="7"/>
      <c r="I43" s="7"/>
      <c r="J43" s="34"/>
      <c r="K43" s="23"/>
    </row>
    <row r="44" spans="5:11" ht="22.5" customHeight="1" x14ac:dyDescent="0.2">
      <c r="J44" s="23"/>
      <c r="K44" s="23"/>
    </row>
    <row r="45" spans="5:11" ht="22.5" customHeight="1" x14ac:dyDescent="0.2"/>
    <row r="46" spans="5:11" ht="22.5" customHeight="1" x14ac:dyDescent="0.2"/>
    <row r="47" spans="5:11" ht="22.5" customHeight="1" x14ac:dyDescent="0.2"/>
    <row r="48" spans="5:1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sheetData>
  <sheetProtection algorithmName="SHA-512" hashValue="LN7QmPM1YuRTFrp2zZxU9F3zlbaRHTNZvQ4CpeUrVMi+Qp9SSb9jRsFX7Sd5Om+AN7vxcFMEHBMHoFuGE9DT+Q==" saltValue="3dyKAZFmp7m73xLt4APuqQ==" spinCount="100000" sheet="1" objects="1" scenarios="1"/>
  <mergeCells count="5">
    <mergeCell ref="A1:C1"/>
    <mergeCell ref="K11:Q12"/>
    <mergeCell ref="F9:I9"/>
    <mergeCell ref="S9:AA9"/>
    <mergeCell ref="A16:D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51"/>
  <sheetViews>
    <sheetView showGridLines="0" showRuler="0" workbookViewId="0">
      <selection activeCell="G4" sqref="G4"/>
    </sheetView>
  </sheetViews>
  <sheetFormatPr defaultColWidth="13.140625" defaultRowHeight="12.75" x14ac:dyDescent="0.2"/>
  <cols>
    <col min="1" max="1" width="36.85546875" customWidth="1"/>
    <col min="2" max="2" width="17.140625" hidden="1" customWidth="1"/>
    <col min="3" max="7" width="17.140625" customWidth="1"/>
    <col min="8" max="8" width="9.28515625" customWidth="1"/>
    <col min="9" max="9" width="31.85546875" customWidth="1"/>
    <col min="14" max="14" width="52.5703125" customWidth="1"/>
    <col min="15" max="15" width="7.28515625" customWidth="1"/>
    <col min="16" max="16" width="48.42578125" customWidth="1"/>
    <col min="22" max="22" width="7.85546875" customWidth="1"/>
    <col min="23" max="23" width="32.5703125" customWidth="1"/>
  </cols>
  <sheetData>
    <row r="1" spans="1:29" ht="20.85" customHeight="1" x14ac:dyDescent="0.2">
      <c r="A1" s="734" t="s">
        <v>1043</v>
      </c>
      <c r="B1" s="735"/>
      <c r="C1" s="735"/>
      <c r="D1" s="735"/>
      <c r="E1" s="735"/>
      <c r="F1" s="23"/>
      <c r="G1" s="23"/>
      <c r="H1" s="23"/>
    </row>
    <row r="2" spans="1:29" x14ac:dyDescent="0.2">
      <c r="A2" s="2"/>
      <c r="B2" s="24"/>
      <c r="C2" s="24"/>
      <c r="D2" s="24"/>
      <c r="E2" s="24"/>
      <c r="F2" s="24"/>
      <c r="G2" s="2"/>
      <c r="H2" s="23"/>
    </row>
    <row r="3" spans="1:29" ht="58.35" customHeight="1" x14ac:dyDescent="0.2">
      <c r="A3" s="39" t="s">
        <v>1044</v>
      </c>
      <c r="B3" s="37">
        <v>2015</v>
      </c>
      <c r="C3" s="37">
        <v>2016</v>
      </c>
      <c r="D3" s="37">
        <v>2017</v>
      </c>
      <c r="E3" s="37">
        <v>2018</v>
      </c>
      <c r="F3" s="37">
        <v>2019</v>
      </c>
      <c r="G3" s="37">
        <v>2020</v>
      </c>
      <c r="H3" s="291"/>
      <c r="I3" s="460" t="s">
        <v>1229</v>
      </c>
      <c r="J3" s="562" t="s">
        <v>5</v>
      </c>
      <c r="K3" s="562"/>
      <c r="L3" s="562" t="s">
        <v>1045</v>
      </c>
      <c r="M3" s="561"/>
      <c r="N3" s="561"/>
      <c r="O3" s="55"/>
      <c r="P3" s="741" t="s">
        <v>1230</v>
      </c>
      <c r="Q3" s="742"/>
      <c r="R3" s="742"/>
      <c r="S3" s="742"/>
      <c r="T3" s="742"/>
      <c r="U3" s="743"/>
      <c r="V3" s="55"/>
      <c r="W3" s="736" t="s">
        <v>1231</v>
      </c>
      <c r="X3" s="737"/>
      <c r="Y3" s="737"/>
      <c r="Z3" s="737"/>
      <c r="AA3" s="737"/>
      <c r="AB3" s="737"/>
      <c r="AC3" s="26"/>
    </row>
    <row r="4" spans="1:29" ht="36.6" customHeight="1" x14ac:dyDescent="0.2">
      <c r="A4" s="54" t="s">
        <v>89</v>
      </c>
      <c r="B4" s="52" t="s">
        <v>16</v>
      </c>
      <c r="C4" s="48" t="s">
        <v>16</v>
      </c>
      <c r="D4" s="48" t="s">
        <v>16</v>
      </c>
      <c r="E4" s="48" t="s">
        <v>16</v>
      </c>
      <c r="F4" s="162">
        <v>0.878</v>
      </c>
      <c r="G4" s="162">
        <v>0.872</v>
      </c>
      <c r="H4" s="291"/>
      <c r="I4" s="40" t="s">
        <v>1046</v>
      </c>
      <c r="J4" s="587" t="s">
        <v>1047</v>
      </c>
      <c r="K4" s="587"/>
      <c r="L4" s="587" t="s">
        <v>1048</v>
      </c>
      <c r="M4" s="561"/>
      <c r="N4" s="561"/>
      <c r="O4" s="55"/>
      <c r="P4" s="738" t="s">
        <v>1049</v>
      </c>
      <c r="Q4" s="739"/>
      <c r="R4" s="739"/>
      <c r="S4" s="739"/>
      <c r="T4" s="739"/>
      <c r="U4" s="740"/>
      <c r="V4" s="55"/>
      <c r="W4" s="587" t="s">
        <v>1050</v>
      </c>
      <c r="X4" s="587"/>
      <c r="Y4" s="587"/>
      <c r="Z4" s="587"/>
      <c r="AA4" s="587"/>
      <c r="AB4" s="587"/>
      <c r="AC4" s="26"/>
    </row>
    <row r="5" spans="1:29" ht="21.6" customHeight="1" x14ac:dyDescent="0.2">
      <c r="A5" s="54" t="s">
        <v>76</v>
      </c>
      <c r="B5" s="377">
        <v>0.12</v>
      </c>
      <c r="C5" s="162">
        <v>0.41</v>
      </c>
      <c r="D5" s="162">
        <v>0.38500000000000001</v>
      </c>
      <c r="E5" s="162">
        <v>0.24299999999999999</v>
      </c>
      <c r="F5" s="162">
        <v>0.24</v>
      </c>
      <c r="G5" s="162">
        <v>0.14000000000000001</v>
      </c>
      <c r="H5" s="291"/>
      <c r="I5" s="587" t="s">
        <v>76</v>
      </c>
      <c r="J5" s="587" t="s">
        <v>1051</v>
      </c>
      <c r="K5" s="587"/>
      <c r="L5" s="587" t="s">
        <v>1052</v>
      </c>
      <c r="M5" s="587"/>
      <c r="N5" s="587"/>
      <c r="O5" s="26"/>
      <c r="P5" s="563" t="s">
        <v>1053</v>
      </c>
      <c r="Q5" s="563"/>
      <c r="R5" s="563"/>
      <c r="S5" s="563"/>
      <c r="T5" s="563"/>
      <c r="U5" s="563"/>
      <c r="W5" s="587"/>
      <c r="X5" s="587"/>
      <c r="Y5" s="587"/>
      <c r="Z5" s="587"/>
      <c r="AA5" s="587"/>
      <c r="AB5" s="587"/>
      <c r="AC5" s="26"/>
    </row>
    <row r="6" spans="1:29" ht="21.6" customHeight="1" x14ac:dyDescent="0.2">
      <c r="A6" s="54" t="s">
        <v>82</v>
      </c>
      <c r="B6" s="52" t="s">
        <v>16</v>
      </c>
      <c r="C6" s="48" t="s">
        <v>16</v>
      </c>
      <c r="D6" s="48" t="s">
        <v>16</v>
      </c>
      <c r="E6" s="48" t="s">
        <v>16</v>
      </c>
      <c r="F6" s="162">
        <v>6.6000000000000003E-2</v>
      </c>
      <c r="G6" s="162">
        <v>0.106</v>
      </c>
      <c r="H6" s="291"/>
      <c r="I6" s="587"/>
      <c r="J6" s="587"/>
      <c r="K6" s="587"/>
      <c r="L6" s="587"/>
      <c r="M6" s="587"/>
      <c r="N6" s="587"/>
      <c r="O6" s="26"/>
      <c r="P6" s="564"/>
      <c r="Q6" s="564"/>
      <c r="R6" s="564"/>
      <c r="S6" s="564"/>
      <c r="T6" s="564"/>
      <c r="U6" s="564"/>
      <c r="W6" s="563" t="s">
        <v>1054</v>
      </c>
      <c r="X6" s="563"/>
      <c r="Y6" s="563"/>
      <c r="Z6" s="563"/>
      <c r="AA6" s="563"/>
      <c r="AB6" s="563"/>
    </row>
    <row r="7" spans="1:29" ht="21.6" customHeight="1" x14ac:dyDescent="0.2">
      <c r="A7" s="54" t="s">
        <v>916</v>
      </c>
      <c r="B7" s="377">
        <v>0</v>
      </c>
      <c r="C7" s="162">
        <v>0</v>
      </c>
      <c r="D7" s="162">
        <v>0</v>
      </c>
      <c r="E7" s="162">
        <v>0</v>
      </c>
      <c r="F7" s="162">
        <v>0</v>
      </c>
      <c r="G7" s="162">
        <v>0</v>
      </c>
      <c r="H7" s="291"/>
      <c r="I7" s="40" t="s">
        <v>86</v>
      </c>
      <c r="J7" s="587" t="s">
        <v>1055</v>
      </c>
      <c r="K7" s="587"/>
      <c r="L7" s="587" t="s">
        <v>1052</v>
      </c>
      <c r="M7" s="587"/>
      <c r="N7" s="587"/>
      <c r="O7" s="26"/>
      <c r="P7" s="564"/>
      <c r="Q7" s="564"/>
      <c r="R7" s="564"/>
      <c r="S7" s="564"/>
      <c r="T7" s="564"/>
      <c r="U7" s="564"/>
      <c r="W7" s="564"/>
      <c r="X7" s="564"/>
      <c r="Y7" s="564"/>
      <c r="Z7" s="564"/>
      <c r="AA7" s="564"/>
      <c r="AB7" s="564"/>
    </row>
    <row r="8" spans="1:29" ht="65.849999999999994" customHeight="1" x14ac:dyDescent="0.2">
      <c r="A8" s="54" t="s">
        <v>101</v>
      </c>
      <c r="B8" s="377">
        <v>0</v>
      </c>
      <c r="C8" s="162">
        <v>0</v>
      </c>
      <c r="D8" s="162">
        <v>0</v>
      </c>
      <c r="E8" s="162">
        <v>0</v>
      </c>
      <c r="F8" s="162">
        <v>0</v>
      </c>
      <c r="G8" s="162">
        <v>0</v>
      </c>
      <c r="H8" s="291"/>
      <c r="I8" s="40" t="s">
        <v>82</v>
      </c>
      <c r="J8" s="587" t="s">
        <v>164</v>
      </c>
      <c r="K8" s="587"/>
      <c r="L8" s="587" t="s">
        <v>1056</v>
      </c>
      <c r="M8" s="587"/>
      <c r="N8" s="587"/>
      <c r="O8" s="26"/>
      <c r="W8" s="7"/>
    </row>
    <row r="9" spans="1:29" ht="65.849999999999994" customHeight="1" x14ac:dyDescent="0.2">
      <c r="A9" s="54" t="s">
        <v>1057</v>
      </c>
      <c r="B9" s="377">
        <v>1</v>
      </c>
      <c r="C9" s="162">
        <v>1</v>
      </c>
      <c r="D9" s="162">
        <v>1</v>
      </c>
      <c r="E9" s="162">
        <v>0.97699999999999998</v>
      </c>
      <c r="F9" s="162">
        <v>0.85299999999999998</v>
      </c>
      <c r="G9" s="162">
        <v>0.90600000000000003</v>
      </c>
      <c r="H9" s="291"/>
      <c r="I9" s="40" t="s">
        <v>1058</v>
      </c>
      <c r="J9" s="587" t="s">
        <v>1059</v>
      </c>
      <c r="K9" s="561"/>
      <c r="L9" s="587" t="s">
        <v>1060</v>
      </c>
      <c r="M9" s="587"/>
      <c r="N9" s="587"/>
      <c r="O9" s="26"/>
      <c r="W9" s="7"/>
    </row>
    <row r="10" spans="1:29" ht="21.6" customHeight="1" x14ac:dyDescent="0.2">
      <c r="A10" s="54" t="s">
        <v>103</v>
      </c>
      <c r="B10" s="52" t="s">
        <v>16</v>
      </c>
      <c r="C10" s="48" t="s">
        <v>16</v>
      </c>
      <c r="D10" s="48" t="s">
        <v>16</v>
      </c>
      <c r="E10" s="48" t="s">
        <v>16</v>
      </c>
      <c r="F10" s="162">
        <v>0</v>
      </c>
      <c r="G10" s="162">
        <v>0</v>
      </c>
      <c r="H10" s="181"/>
      <c r="I10" s="566" t="s">
        <v>1061</v>
      </c>
      <c r="J10" s="566"/>
      <c r="K10" s="566"/>
      <c r="L10" s="566"/>
      <c r="M10" s="566"/>
      <c r="N10" s="566"/>
    </row>
    <row r="11" spans="1:29" ht="45.75" customHeight="1" x14ac:dyDescent="0.2">
      <c r="A11" s="54" t="s">
        <v>86</v>
      </c>
      <c r="B11" s="52" t="s">
        <v>16</v>
      </c>
      <c r="C11" s="48" t="s">
        <v>16</v>
      </c>
      <c r="D11" s="48" t="s">
        <v>16</v>
      </c>
      <c r="E11" s="48" t="s">
        <v>16</v>
      </c>
      <c r="F11" s="162">
        <v>0.70599999999999996</v>
      </c>
      <c r="G11" s="162">
        <v>0.72899999999999998</v>
      </c>
      <c r="H11" s="181"/>
      <c r="I11" s="573"/>
      <c r="J11" s="573"/>
      <c r="K11" s="573"/>
      <c r="L11" s="573"/>
      <c r="M11" s="573"/>
      <c r="N11" s="573"/>
      <c r="P11" s="7"/>
      <c r="Q11" s="7"/>
      <c r="R11" s="7"/>
      <c r="S11" s="7"/>
      <c r="T11" s="7"/>
    </row>
    <row r="12" spans="1:29" ht="21.6" customHeight="1" x14ac:dyDescent="0.2">
      <c r="A12" s="54" t="s">
        <v>1062</v>
      </c>
      <c r="B12" s="377">
        <v>0</v>
      </c>
      <c r="C12" s="162">
        <v>0</v>
      </c>
      <c r="D12" s="162">
        <v>0</v>
      </c>
      <c r="E12" s="162">
        <v>0</v>
      </c>
      <c r="F12" s="162">
        <v>0</v>
      </c>
      <c r="G12" s="162">
        <v>0</v>
      </c>
      <c r="H12" s="57"/>
      <c r="P12" s="7"/>
      <c r="Q12" s="7"/>
      <c r="R12" s="7"/>
      <c r="S12" s="7"/>
      <c r="T12" s="7"/>
    </row>
    <row r="13" spans="1:29" ht="21.6" customHeight="1" x14ac:dyDescent="0.2">
      <c r="A13" s="54" t="s">
        <v>97</v>
      </c>
      <c r="B13" s="377">
        <v>0.28000000000000003</v>
      </c>
      <c r="C13" s="162">
        <v>0.28000000000000003</v>
      </c>
      <c r="D13" s="162">
        <v>0.28999999999999998</v>
      </c>
      <c r="E13" s="162">
        <v>0.34</v>
      </c>
      <c r="F13" s="162">
        <v>0.35899999999999999</v>
      </c>
      <c r="G13" s="162">
        <v>0.44400000000000001</v>
      </c>
      <c r="H13" s="181"/>
      <c r="P13" s="7"/>
      <c r="Q13" s="7"/>
      <c r="R13" s="7"/>
      <c r="S13" s="7"/>
      <c r="T13" s="7"/>
    </row>
    <row r="14" spans="1:29" ht="21.6" customHeight="1" x14ac:dyDescent="0.2">
      <c r="A14" s="54" t="s">
        <v>94</v>
      </c>
      <c r="B14" s="52" t="s">
        <v>16</v>
      </c>
      <c r="C14" s="48" t="s">
        <v>16</v>
      </c>
      <c r="D14" s="162">
        <v>0</v>
      </c>
      <c r="E14" s="162">
        <v>0.45400000000000001</v>
      </c>
      <c r="F14" s="162">
        <v>0.42399999999999999</v>
      </c>
      <c r="G14" s="162">
        <v>0.41099999999999998</v>
      </c>
      <c r="H14" s="181"/>
      <c r="P14" s="7"/>
    </row>
    <row r="15" spans="1:29" ht="21.6" customHeight="1" x14ac:dyDescent="0.2">
      <c r="A15" s="54" t="s">
        <v>1063</v>
      </c>
      <c r="B15" s="377">
        <v>0.4</v>
      </c>
      <c r="C15" s="162">
        <v>0.35</v>
      </c>
      <c r="D15" s="162">
        <v>0.32300000000000001</v>
      </c>
      <c r="E15" s="162">
        <v>0.31</v>
      </c>
      <c r="F15" s="162">
        <v>0</v>
      </c>
      <c r="G15" s="162">
        <v>0</v>
      </c>
      <c r="H15" s="181"/>
    </row>
    <row r="16" spans="1:29" ht="21.6" customHeight="1" x14ac:dyDescent="0.2">
      <c r="A16" s="54" t="s">
        <v>1064</v>
      </c>
      <c r="B16" s="380">
        <v>0.49</v>
      </c>
      <c r="C16" s="381">
        <v>0.51</v>
      </c>
      <c r="D16" s="381">
        <v>0.51</v>
      </c>
      <c r="E16" s="381">
        <v>0.42</v>
      </c>
      <c r="F16" s="381">
        <v>0.434</v>
      </c>
      <c r="G16" s="382">
        <v>0.47199999999999998</v>
      </c>
      <c r="H16" s="181"/>
      <c r="P16" s="7"/>
    </row>
    <row r="17" spans="1:16" ht="22.5" customHeight="1" x14ac:dyDescent="0.2">
      <c r="A17" s="627" t="s">
        <v>1065</v>
      </c>
      <c r="B17" s="627"/>
      <c r="C17" s="627"/>
      <c r="D17" s="627"/>
      <c r="E17" s="627"/>
      <c r="F17" s="627"/>
      <c r="G17" s="627"/>
      <c r="H17" s="34"/>
      <c r="P17" s="7"/>
    </row>
    <row r="18" spans="1:16" ht="22.5" customHeight="1" x14ac:dyDescent="0.2">
      <c r="A18" s="613"/>
      <c r="B18" s="613"/>
      <c r="C18" s="613"/>
      <c r="D18" s="613"/>
      <c r="E18" s="613"/>
      <c r="F18" s="613"/>
      <c r="G18" s="613"/>
      <c r="H18" s="33"/>
    </row>
    <row r="19" spans="1:16" ht="36.6" customHeight="1" x14ac:dyDescent="0.2">
      <c r="A19" s="613"/>
      <c r="B19" s="613"/>
      <c r="C19" s="613"/>
      <c r="D19" s="613"/>
      <c r="E19" s="613"/>
      <c r="F19" s="613"/>
      <c r="G19" s="613"/>
      <c r="H19" s="34"/>
    </row>
    <row r="20" spans="1:16" ht="22.5" customHeight="1" x14ac:dyDescent="0.2">
      <c r="A20" s="7"/>
      <c r="B20" s="7"/>
      <c r="D20" s="7"/>
      <c r="H20" s="23"/>
    </row>
    <row r="21" spans="1:16" ht="51.6" customHeight="1" x14ac:dyDescent="0.2">
      <c r="A21" s="7"/>
      <c r="B21" s="7"/>
      <c r="D21" s="7"/>
      <c r="H21" s="23"/>
    </row>
    <row r="22" spans="1:16" ht="54.2" customHeight="1" x14ac:dyDescent="0.2">
      <c r="A22" s="7"/>
      <c r="B22" s="7"/>
      <c r="D22" s="7"/>
      <c r="H22" s="23"/>
    </row>
    <row r="23" spans="1:16" ht="54.2" customHeight="1" x14ac:dyDescent="0.2">
      <c r="B23" s="7"/>
      <c r="D23" s="7"/>
      <c r="H23" s="23"/>
    </row>
    <row r="24" spans="1:16" ht="54.2" customHeight="1" x14ac:dyDescent="0.2">
      <c r="A24" s="7"/>
      <c r="B24" s="7"/>
      <c r="D24" s="7"/>
      <c r="H24" s="23"/>
    </row>
    <row r="25" spans="1:16" ht="54.2" customHeight="1" x14ac:dyDescent="0.2">
      <c r="A25" s="7"/>
      <c r="B25" s="7"/>
      <c r="D25" s="7"/>
      <c r="H25" s="23"/>
    </row>
    <row r="26" spans="1:16" ht="105" customHeight="1" x14ac:dyDescent="0.2">
      <c r="A26" s="7"/>
      <c r="H26" s="23"/>
    </row>
    <row r="27" spans="1:16" ht="45" customHeight="1" x14ac:dyDescent="0.2">
      <c r="A27" s="30"/>
      <c r="B27" s="23"/>
      <c r="C27" s="23"/>
      <c r="D27" s="23"/>
      <c r="E27" s="23"/>
      <c r="F27" s="23"/>
      <c r="G27" s="23"/>
      <c r="H27" s="23"/>
    </row>
    <row r="28" spans="1:16" ht="3.2" customHeight="1" x14ac:dyDescent="0.2">
      <c r="A28" s="23"/>
      <c r="B28" s="23"/>
      <c r="C28" s="23"/>
      <c r="D28" s="23"/>
      <c r="E28" s="23"/>
      <c r="F28" s="23"/>
      <c r="G28" s="23"/>
      <c r="H28" s="23"/>
    </row>
    <row r="29" spans="1:16" ht="66.599999999999994" customHeight="1" x14ac:dyDescent="0.2">
      <c r="A29" s="7"/>
      <c r="H29" s="23"/>
    </row>
    <row r="30" spans="1:16" ht="21.6" customHeight="1" x14ac:dyDescent="0.2">
      <c r="A30" s="7"/>
      <c r="H30" s="23"/>
    </row>
    <row r="31" spans="1:16" ht="21.6" customHeight="1" x14ac:dyDescent="0.2">
      <c r="A31" s="7"/>
      <c r="H31" s="23"/>
    </row>
    <row r="32" spans="1:16" ht="84.2" customHeight="1" x14ac:dyDescent="0.2">
      <c r="H32" s="23"/>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sheetData>
  <sheetProtection algorithmName="SHA-512" hashValue="VdII5oKTf4QlquIEsKtuhlh77gyNyvMju2RJCN/w0vqXC1g3XypAga3417/bLMMl8AqGRtiYIzWkqUwfaLXzAg==" saltValue="FYaR9K2ZWZ78MVI/qKzekQ==" spinCount="100000" sheet="1" objects="1" scenarios="1"/>
  <mergeCells count="22">
    <mergeCell ref="W3:AB3"/>
    <mergeCell ref="W4:AB5"/>
    <mergeCell ref="W6:AB7"/>
    <mergeCell ref="I10:N11"/>
    <mergeCell ref="A17:G19"/>
    <mergeCell ref="P5:U7"/>
    <mergeCell ref="P4:U4"/>
    <mergeCell ref="P3:U3"/>
    <mergeCell ref="L7:N7"/>
    <mergeCell ref="L9:N9"/>
    <mergeCell ref="L8:N8"/>
    <mergeCell ref="J5:K6"/>
    <mergeCell ref="J7:K7"/>
    <mergeCell ref="J8:K8"/>
    <mergeCell ref="J9:K9"/>
    <mergeCell ref="A1:E1"/>
    <mergeCell ref="I5:I6"/>
    <mergeCell ref="J3:K3"/>
    <mergeCell ref="J4:K4"/>
    <mergeCell ref="L3:N3"/>
    <mergeCell ref="L4:N4"/>
    <mergeCell ref="L5:N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53"/>
  <sheetViews>
    <sheetView showGridLines="0" showRuler="0" workbookViewId="0">
      <selection activeCell="B6" sqref="B6"/>
    </sheetView>
  </sheetViews>
  <sheetFormatPr defaultColWidth="13.140625" defaultRowHeight="12.75" x14ac:dyDescent="0.2"/>
  <cols>
    <col min="1" max="1" width="45.140625" customWidth="1"/>
    <col min="2" max="3" width="14.42578125" customWidth="1"/>
    <col min="4" max="4" width="6.140625" customWidth="1"/>
    <col min="5" max="5" width="45.5703125" customWidth="1"/>
    <col min="6" max="8" width="17.5703125" customWidth="1"/>
    <col min="9" max="9" width="6.5703125" customWidth="1"/>
    <col min="16" max="16" width="7.42578125" customWidth="1"/>
    <col min="17" max="17" width="29.28515625" customWidth="1"/>
    <col min="20" max="20" width="6.85546875" customWidth="1"/>
    <col min="27" max="27" width="7.42578125" customWidth="1"/>
    <col min="28" max="28" width="28.85546875" customWidth="1"/>
    <col min="29" max="29" width="21.7109375" customWidth="1"/>
  </cols>
  <sheetData>
    <row r="1" spans="1:34" ht="14.1" customHeight="1" x14ac:dyDescent="0.25">
      <c r="A1" s="560" t="s">
        <v>106</v>
      </c>
      <c r="B1" s="560"/>
      <c r="C1" s="560"/>
      <c r="D1" s="23"/>
      <c r="E1" s="23"/>
      <c r="F1" s="23"/>
      <c r="G1" s="23"/>
    </row>
    <row r="2" spans="1:34" x14ac:dyDescent="0.2">
      <c r="A2" s="73"/>
      <c r="B2" s="23"/>
      <c r="C2" s="23"/>
      <c r="D2" s="23"/>
      <c r="E2" s="23"/>
      <c r="F2" s="23"/>
      <c r="G2" s="23"/>
      <c r="Q2" s="74"/>
    </row>
    <row r="3" spans="1:34" x14ac:dyDescent="0.2">
      <c r="B3" s="89"/>
      <c r="C3" s="89"/>
      <c r="D3" s="23"/>
    </row>
    <row r="4" spans="1:34" ht="49.15" customHeight="1" x14ac:dyDescent="0.2">
      <c r="A4" s="458" t="s">
        <v>1142</v>
      </c>
      <c r="B4" s="5" t="s">
        <v>107</v>
      </c>
      <c r="C4" s="5" t="s">
        <v>108</v>
      </c>
      <c r="D4" s="11"/>
      <c r="E4" s="458" t="s">
        <v>1143</v>
      </c>
      <c r="F4" s="4" t="s">
        <v>109</v>
      </c>
      <c r="G4" s="4" t="s">
        <v>110</v>
      </c>
      <c r="H4" s="4" t="s">
        <v>111</v>
      </c>
      <c r="I4" s="55"/>
      <c r="J4" s="576" t="s">
        <v>1144</v>
      </c>
      <c r="K4" s="577"/>
      <c r="L4" s="577"/>
      <c r="M4" s="577"/>
      <c r="N4" s="577"/>
      <c r="O4" s="577"/>
      <c r="P4" s="55"/>
      <c r="Q4" s="460" t="s">
        <v>1146</v>
      </c>
      <c r="R4" s="5" t="s">
        <v>112</v>
      </c>
      <c r="S4" s="5" t="s">
        <v>113</v>
      </c>
      <c r="T4" s="55"/>
      <c r="U4" s="614" t="s">
        <v>1147</v>
      </c>
      <c r="V4" s="615"/>
      <c r="W4" s="615"/>
      <c r="X4" s="615"/>
      <c r="Y4" s="615"/>
      <c r="Z4" s="616"/>
      <c r="AA4" s="90"/>
      <c r="AB4" s="461" t="s">
        <v>1148</v>
      </c>
      <c r="AC4" s="75" t="s">
        <v>114</v>
      </c>
      <c r="AD4" s="76">
        <v>2017</v>
      </c>
      <c r="AE4" s="76">
        <v>2018</v>
      </c>
      <c r="AF4" s="76">
        <v>2019</v>
      </c>
      <c r="AG4" s="76">
        <v>2020</v>
      </c>
      <c r="AH4" s="91"/>
    </row>
    <row r="5" spans="1:34" ht="21.6" customHeight="1" x14ac:dyDescent="0.2">
      <c r="A5" s="46" t="s">
        <v>115</v>
      </c>
      <c r="B5" s="46" t="s">
        <v>116</v>
      </c>
      <c r="C5" s="77">
        <v>25000</v>
      </c>
      <c r="D5" s="11"/>
      <c r="E5" s="10" t="s">
        <v>117</v>
      </c>
      <c r="F5" s="78">
        <v>562000</v>
      </c>
      <c r="G5" s="78">
        <v>112400</v>
      </c>
      <c r="H5" s="507">
        <v>0.2</v>
      </c>
      <c r="I5" s="55"/>
      <c r="J5" s="588" t="s">
        <v>1117</v>
      </c>
      <c r="K5" s="589"/>
      <c r="L5" s="589"/>
      <c r="M5" s="589"/>
      <c r="N5" s="589"/>
      <c r="O5" s="589"/>
      <c r="P5" s="55"/>
      <c r="Q5" s="46" t="s">
        <v>118</v>
      </c>
      <c r="R5" s="80">
        <v>35</v>
      </c>
      <c r="S5" s="77">
        <v>17124</v>
      </c>
      <c r="T5" s="55"/>
      <c r="U5" s="597" t="s">
        <v>119</v>
      </c>
      <c r="V5" s="600" t="s">
        <v>117</v>
      </c>
      <c r="W5" s="601"/>
      <c r="X5" s="601"/>
      <c r="Y5" s="602"/>
      <c r="Z5" s="617">
        <v>562000</v>
      </c>
      <c r="AA5" s="55"/>
      <c r="AB5" s="620" t="s">
        <v>120</v>
      </c>
      <c r="AC5" s="82" t="s">
        <v>121</v>
      </c>
      <c r="AD5" s="83">
        <v>988000</v>
      </c>
      <c r="AE5" s="83">
        <v>1080000</v>
      </c>
      <c r="AF5" s="83">
        <v>1282593</v>
      </c>
      <c r="AG5" s="83">
        <v>1352400</v>
      </c>
      <c r="AH5" s="26"/>
    </row>
    <row r="6" spans="1:34" ht="21.6" customHeight="1" x14ac:dyDescent="0.2">
      <c r="A6" s="46" t="s">
        <v>122</v>
      </c>
      <c r="B6" s="46" t="s">
        <v>123</v>
      </c>
      <c r="C6" s="77">
        <v>10000</v>
      </c>
      <c r="D6" s="11"/>
      <c r="E6" s="10" t="s">
        <v>124</v>
      </c>
      <c r="F6" s="78">
        <v>75000</v>
      </c>
      <c r="G6" s="78">
        <v>30000</v>
      </c>
      <c r="H6" s="507">
        <v>0.4</v>
      </c>
      <c r="I6" s="55"/>
      <c r="J6" s="589"/>
      <c r="K6" s="589"/>
      <c r="L6" s="589"/>
      <c r="M6" s="589"/>
      <c r="N6" s="589"/>
      <c r="O6" s="589"/>
      <c r="P6" s="55"/>
      <c r="Q6" s="595" t="s">
        <v>90</v>
      </c>
      <c r="R6" s="596"/>
      <c r="S6" s="84">
        <f>S5</f>
        <v>17124</v>
      </c>
      <c r="T6" s="55"/>
      <c r="U6" s="598"/>
      <c r="V6" s="603"/>
      <c r="W6" s="604"/>
      <c r="X6" s="604"/>
      <c r="Y6" s="605"/>
      <c r="Z6" s="618"/>
      <c r="AA6" s="55"/>
      <c r="AB6" s="618"/>
      <c r="AC6" s="82" t="s">
        <v>125</v>
      </c>
      <c r="AD6" s="83">
        <v>67500</v>
      </c>
      <c r="AE6" s="83">
        <v>186514</v>
      </c>
      <c r="AF6" s="83">
        <v>66700</v>
      </c>
      <c r="AG6" s="83">
        <v>60000</v>
      </c>
      <c r="AH6" s="26"/>
    </row>
    <row r="7" spans="1:34" ht="21.6" customHeight="1" x14ac:dyDescent="0.2">
      <c r="A7" s="46" t="s">
        <v>126</v>
      </c>
      <c r="B7" s="46" t="s">
        <v>116</v>
      </c>
      <c r="C7" s="77">
        <v>10000</v>
      </c>
      <c r="D7" s="11"/>
      <c r="E7" s="10" t="s">
        <v>127</v>
      </c>
      <c r="F7" s="78">
        <v>35000</v>
      </c>
      <c r="G7" s="78">
        <v>8750</v>
      </c>
      <c r="H7" s="507">
        <v>0.25</v>
      </c>
      <c r="I7" s="55"/>
      <c r="J7" s="589"/>
      <c r="K7" s="589"/>
      <c r="L7" s="589"/>
      <c r="M7" s="589"/>
      <c r="N7" s="589"/>
      <c r="O7" s="589"/>
      <c r="P7" s="26"/>
      <c r="Q7" s="612" t="s">
        <v>128</v>
      </c>
      <c r="R7" s="612"/>
      <c r="S7" s="612"/>
      <c r="U7" s="598"/>
      <c r="V7" s="606"/>
      <c r="W7" s="607"/>
      <c r="X7" s="607"/>
      <c r="Y7" s="608"/>
      <c r="Z7" s="619"/>
      <c r="AA7" s="55"/>
      <c r="AB7" s="619"/>
      <c r="AC7" s="82" t="s">
        <v>129</v>
      </c>
      <c r="AD7" s="83">
        <v>180458</v>
      </c>
      <c r="AE7" s="83">
        <v>180458</v>
      </c>
      <c r="AF7" s="83">
        <v>1006398</v>
      </c>
      <c r="AG7" s="83">
        <v>682000</v>
      </c>
      <c r="AH7" s="26"/>
    </row>
    <row r="8" spans="1:34" ht="21.6" customHeight="1" x14ac:dyDescent="0.2">
      <c r="A8" s="46" t="s">
        <v>130</v>
      </c>
      <c r="B8" s="46" t="s">
        <v>116</v>
      </c>
      <c r="C8" s="77">
        <v>15000</v>
      </c>
      <c r="D8" s="11"/>
      <c r="E8" s="10" t="s">
        <v>131</v>
      </c>
      <c r="F8" s="78">
        <v>10000</v>
      </c>
      <c r="G8" s="78">
        <v>1700</v>
      </c>
      <c r="H8" s="507">
        <v>0.17</v>
      </c>
      <c r="I8" s="55"/>
      <c r="J8" s="589"/>
      <c r="K8" s="589"/>
      <c r="L8" s="589"/>
      <c r="M8" s="589"/>
      <c r="N8" s="589"/>
      <c r="O8" s="589"/>
      <c r="P8" s="26"/>
      <c r="Q8" s="613"/>
      <c r="R8" s="613"/>
      <c r="S8" s="613"/>
      <c r="U8" s="598"/>
      <c r="V8" s="600" t="s">
        <v>132</v>
      </c>
      <c r="W8" s="601"/>
      <c r="X8" s="601"/>
      <c r="Y8" s="602"/>
      <c r="Z8" s="617">
        <v>132700</v>
      </c>
      <c r="AA8" s="26"/>
      <c r="AB8" s="593" t="s">
        <v>133</v>
      </c>
      <c r="AC8" s="593"/>
      <c r="AD8" s="593"/>
      <c r="AE8" s="593"/>
      <c r="AF8" s="593"/>
      <c r="AG8" s="593"/>
    </row>
    <row r="9" spans="1:34" ht="21.6" customHeight="1" x14ac:dyDescent="0.2">
      <c r="A9" s="590" t="s">
        <v>134</v>
      </c>
      <c r="B9" s="591"/>
      <c r="C9" s="88">
        <f>SUM(C5:C8)</f>
        <v>60000</v>
      </c>
      <c r="D9" s="57"/>
      <c r="E9" s="563" t="s">
        <v>135</v>
      </c>
      <c r="F9" s="563"/>
      <c r="G9" s="563"/>
      <c r="H9" s="563"/>
      <c r="J9" s="589"/>
      <c r="K9" s="589"/>
      <c r="L9" s="589"/>
      <c r="M9" s="589"/>
      <c r="N9" s="589"/>
      <c r="O9" s="589"/>
      <c r="P9" s="26"/>
      <c r="U9" s="598"/>
      <c r="V9" s="603"/>
      <c r="W9" s="604"/>
      <c r="X9" s="604"/>
      <c r="Y9" s="605"/>
      <c r="Z9" s="618"/>
      <c r="AA9" s="26"/>
      <c r="AB9" s="594"/>
      <c r="AC9" s="594"/>
      <c r="AD9" s="594"/>
      <c r="AE9" s="594"/>
      <c r="AF9" s="594"/>
      <c r="AG9" s="613"/>
    </row>
    <row r="10" spans="1:34" ht="21.6" customHeight="1" x14ac:dyDescent="0.2">
      <c r="A10" s="572" t="s">
        <v>1145</v>
      </c>
      <c r="B10" s="566"/>
      <c r="C10" s="566"/>
      <c r="D10" s="23"/>
      <c r="E10" s="565"/>
      <c r="F10" s="565"/>
      <c r="G10" s="565"/>
      <c r="H10" s="565"/>
      <c r="J10" s="574" t="s">
        <v>136</v>
      </c>
      <c r="K10" s="563"/>
      <c r="L10" s="563"/>
      <c r="M10" s="563"/>
      <c r="N10" s="563"/>
      <c r="O10" s="563"/>
      <c r="U10" s="598"/>
      <c r="V10" s="606"/>
      <c r="W10" s="607"/>
      <c r="X10" s="607"/>
      <c r="Y10" s="608"/>
      <c r="Z10" s="619"/>
      <c r="AA10" s="26"/>
      <c r="AB10" s="594"/>
      <c r="AC10" s="594"/>
      <c r="AD10" s="594"/>
      <c r="AE10" s="594"/>
      <c r="AF10" s="594"/>
      <c r="AG10" s="613"/>
    </row>
    <row r="11" spans="1:34" ht="41.25" customHeight="1" x14ac:dyDescent="0.2">
      <c r="A11" s="573"/>
      <c r="B11" s="573"/>
      <c r="C11" s="573"/>
      <c r="D11" s="23"/>
      <c r="E11" s="23"/>
      <c r="F11" s="23"/>
      <c r="G11" s="23"/>
      <c r="J11" s="564"/>
      <c r="K11" s="564"/>
      <c r="L11" s="564"/>
      <c r="M11" s="564"/>
      <c r="N11" s="564"/>
      <c r="O11" s="564"/>
      <c r="U11" s="599"/>
      <c r="V11" s="609" t="s">
        <v>137</v>
      </c>
      <c r="W11" s="610"/>
      <c r="X11" s="610"/>
      <c r="Y11" s="611"/>
      <c r="Z11" s="83">
        <v>120000</v>
      </c>
      <c r="AA11" s="26"/>
      <c r="AB11" s="594"/>
      <c r="AC11" s="594"/>
      <c r="AD11" s="594"/>
      <c r="AE11" s="594"/>
      <c r="AF11" s="594"/>
      <c r="AG11" s="613"/>
    </row>
    <row r="12" spans="1:34" ht="21.6" customHeight="1" x14ac:dyDescent="0.2">
      <c r="A12" s="573"/>
      <c r="B12" s="573"/>
      <c r="C12" s="573"/>
      <c r="D12" s="23"/>
      <c r="E12" s="23"/>
      <c r="F12" s="23"/>
      <c r="G12" s="23"/>
      <c r="U12" s="597" t="s">
        <v>138</v>
      </c>
      <c r="V12" s="600" t="s">
        <v>139</v>
      </c>
      <c r="W12" s="601"/>
      <c r="X12" s="601"/>
      <c r="Y12" s="601"/>
      <c r="Z12" s="602"/>
      <c r="AA12" s="26"/>
    </row>
    <row r="13" spans="1:34" ht="14.1" customHeight="1" x14ac:dyDescent="0.2">
      <c r="A13" s="573"/>
      <c r="B13" s="573"/>
      <c r="C13" s="573"/>
      <c r="D13" s="23"/>
      <c r="E13" s="23"/>
      <c r="F13" s="23"/>
      <c r="G13" s="23"/>
      <c r="U13" s="598"/>
      <c r="V13" s="603"/>
      <c r="W13" s="604"/>
      <c r="X13" s="604"/>
      <c r="Y13" s="604"/>
      <c r="Z13" s="605"/>
      <c r="AA13" s="26"/>
    </row>
    <row r="14" spans="1:34" ht="35.85" customHeight="1" x14ac:dyDescent="0.2">
      <c r="A14" s="573"/>
      <c r="B14" s="573"/>
      <c r="C14" s="573"/>
      <c r="D14" s="23"/>
      <c r="E14" s="7"/>
      <c r="F14" s="23"/>
      <c r="G14" s="23"/>
      <c r="U14" s="598"/>
      <c r="V14" s="603"/>
      <c r="W14" s="604"/>
      <c r="X14" s="604"/>
      <c r="Y14" s="604"/>
      <c r="Z14" s="605"/>
      <c r="AA14" s="26"/>
    </row>
    <row r="15" spans="1:34" ht="75.75" customHeight="1" x14ac:dyDescent="0.2">
      <c r="A15" s="573"/>
      <c r="B15" s="573"/>
      <c r="C15" s="573"/>
      <c r="D15" s="23"/>
      <c r="E15" s="23"/>
      <c r="F15" s="23"/>
      <c r="G15" s="23"/>
      <c r="U15" s="599"/>
      <c r="V15" s="606"/>
      <c r="W15" s="607"/>
      <c r="X15" s="607"/>
      <c r="Y15" s="607"/>
      <c r="Z15" s="608"/>
      <c r="AA15" s="26"/>
    </row>
    <row r="16" spans="1:34" ht="60" customHeight="1" x14ac:dyDescent="0.2">
      <c r="A16" s="573"/>
      <c r="B16" s="573"/>
      <c r="C16" s="573"/>
      <c r="D16" s="7"/>
      <c r="E16" s="23"/>
      <c r="F16" s="23"/>
      <c r="G16" s="23"/>
      <c r="U16" s="592" t="s">
        <v>140</v>
      </c>
      <c r="V16" s="593"/>
      <c r="W16" s="593"/>
      <c r="X16" s="593"/>
      <c r="Y16" s="593"/>
      <c r="Z16" s="593"/>
    </row>
    <row r="17" spans="1:26" ht="21.6" customHeight="1" x14ac:dyDescent="0.2">
      <c r="A17" s="573"/>
      <c r="B17" s="573"/>
      <c r="C17" s="573"/>
      <c r="D17" s="7"/>
      <c r="E17" s="23"/>
      <c r="F17" s="23"/>
      <c r="G17" s="23"/>
      <c r="U17" s="594"/>
      <c r="V17" s="594"/>
      <c r="W17" s="594"/>
      <c r="X17" s="594"/>
      <c r="Y17" s="594"/>
      <c r="Z17" s="594"/>
    </row>
    <row r="18" spans="1:26" ht="21.6" customHeight="1" x14ac:dyDescent="0.2">
      <c r="A18" s="23"/>
      <c r="B18" s="23"/>
      <c r="C18" s="23"/>
      <c r="D18" s="7"/>
      <c r="E18" s="23"/>
      <c r="F18" s="23"/>
      <c r="G18" s="23"/>
    </row>
    <row r="19" spans="1:26" ht="24.95" customHeight="1" x14ac:dyDescent="0.2">
      <c r="A19" s="7"/>
      <c r="E19" s="23"/>
      <c r="F19" s="23"/>
      <c r="G19" s="23"/>
    </row>
    <row r="20" spans="1:26" ht="14.1" customHeight="1" x14ac:dyDescent="0.2">
      <c r="A20" s="7"/>
      <c r="E20" s="23"/>
      <c r="F20" s="23"/>
      <c r="G20" s="23"/>
    </row>
    <row r="21" spans="1:26" ht="66.599999999999994" customHeight="1" x14ac:dyDescent="0.2">
      <c r="A21" s="7"/>
      <c r="D21" s="23"/>
      <c r="E21" s="23"/>
      <c r="F21" s="23"/>
      <c r="G21" s="23"/>
    </row>
    <row r="22" spans="1:26" ht="22.5" customHeight="1" x14ac:dyDescent="0.2">
      <c r="A22" s="23"/>
      <c r="B22" s="23"/>
      <c r="C22" s="23"/>
      <c r="G22" s="23"/>
    </row>
    <row r="23" spans="1:26" ht="44.1" customHeight="1" x14ac:dyDescent="0.2">
      <c r="A23" s="23"/>
      <c r="B23" s="23"/>
      <c r="C23" s="23"/>
      <c r="G23" s="23"/>
    </row>
    <row r="24" spans="1:26" ht="48.2" customHeight="1" x14ac:dyDescent="0.2">
      <c r="A24" s="23"/>
      <c r="B24" s="23"/>
      <c r="C24" s="23"/>
      <c r="G24" s="23"/>
    </row>
    <row r="25" spans="1:26" ht="14.1" customHeight="1" x14ac:dyDescent="0.2">
      <c r="A25" s="23"/>
      <c r="B25" s="23"/>
      <c r="C25" s="23"/>
      <c r="G25" s="23"/>
    </row>
    <row r="26" spans="1:26" ht="14.1" customHeight="1" x14ac:dyDescent="0.2">
      <c r="A26" s="23"/>
      <c r="B26" s="23"/>
      <c r="C26" s="23"/>
      <c r="D26" s="23"/>
      <c r="E26" s="23"/>
      <c r="F26" s="23"/>
      <c r="G26" s="23"/>
    </row>
    <row r="27" spans="1:26" ht="14.1" customHeight="1" x14ac:dyDescent="0.2">
      <c r="A27" s="23"/>
      <c r="B27" s="23"/>
      <c r="C27" s="23"/>
      <c r="D27" s="23"/>
      <c r="E27" s="23"/>
      <c r="F27" s="23"/>
      <c r="G27" s="23"/>
    </row>
    <row r="28" spans="1:26" ht="14.1" customHeight="1" x14ac:dyDescent="0.2">
      <c r="D28" s="23"/>
      <c r="E28" s="23"/>
      <c r="F28" s="23"/>
      <c r="G28" s="23"/>
    </row>
    <row r="29" spans="1:26" ht="14.1" customHeight="1" x14ac:dyDescent="0.2">
      <c r="D29" s="23"/>
      <c r="E29" s="23"/>
      <c r="F29" s="23"/>
      <c r="G29" s="23"/>
    </row>
    <row r="30" spans="1:26" ht="14.1" customHeight="1" x14ac:dyDescent="0.2">
      <c r="D30" s="33"/>
      <c r="E30" s="23"/>
      <c r="F30" s="23"/>
      <c r="G30" s="23"/>
    </row>
    <row r="31" spans="1:26" ht="15" customHeight="1" x14ac:dyDescent="0.2"/>
    <row r="32" spans="1:2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sheetData>
  <sheetProtection algorithmName="SHA-512" hashValue="U9Hy5LwJ6uITqDrz3UzptNmLF1muteuhQg+2CzHjIlkil7OZ8VLKllQjG7zijA2Z2vjtZHNniNx3XHWuC2u1dA==" saltValue="U+N84RfSl9YBOLtvU7Q3Dg==" spinCount="100000" sheet="1" objects="1" scenarios="1"/>
  <mergeCells count="21">
    <mergeCell ref="U4:Z4"/>
    <mergeCell ref="Z5:Z7"/>
    <mergeCell ref="Z8:Z10"/>
    <mergeCell ref="AB5:AB7"/>
    <mergeCell ref="AB8:AG11"/>
    <mergeCell ref="U16:Z17"/>
    <mergeCell ref="Q6:R6"/>
    <mergeCell ref="U12:U15"/>
    <mergeCell ref="V12:Z15"/>
    <mergeCell ref="V11:Y11"/>
    <mergeCell ref="V8:Y10"/>
    <mergeCell ref="V5:Y7"/>
    <mergeCell ref="U5:U11"/>
    <mergeCell ref="Q7:S8"/>
    <mergeCell ref="A1:C1"/>
    <mergeCell ref="E9:H10"/>
    <mergeCell ref="J4:O4"/>
    <mergeCell ref="J10:O11"/>
    <mergeCell ref="J5:O9"/>
    <mergeCell ref="A9:B9"/>
    <mergeCell ref="A10:C17"/>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C63"/>
  <sheetViews>
    <sheetView showGridLines="0" showRuler="0" workbookViewId="0">
      <selection activeCell="F5" sqref="F5"/>
    </sheetView>
  </sheetViews>
  <sheetFormatPr defaultColWidth="13.140625" defaultRowHeight="12.75" x14ac:dyDescent="0.2"/>
  <cols>
    <col min="1" max="1" width="32.5703125" customWidth="1"/>
    <col min="2" max="4" width="15.140625" customWidth="1"/>
    <col min="5" max="5" width="7.85546875" customWidth="1"/>
    <col min="6" max="6" width="24.28515625" customWidth="1"/>
    <col min="7" max="7" width="14.42578125" customWidth="1"/>
    <col min="9" max="9" width="7" customWidth="1"/>
    <col min="10" max="10" width="27.7109375" customWidth="1"/>
    <col min="11" max="11" width="0" hidden="1"/>
    <col min="17" max="17" width="9.28515625" customWidth="1"/>
    <col min="18" max="18" width="36.5703125" customWidth="1"/>
    <col min="19" max="19" width="0" hidden="1"/>
    <col min="25" max="25" width="8.140625" customWidth="1"/>
    <col min="26" max="26" width="35" customWidth="1"/>
    <col min="27" max="27" width="27.140625" customWidth="1"/>
    <col min="28" max="28" width="35" customWidth="1"/>
  </cols>
  <sheetData>
    <row r="1" spans="1:29" ht="14.25" customHeight="1" x14ac:dyDescent="0.2">
      <c r="A1" s="734" t="s">
        <v>1066</v>
      </c>
      <c r="B1" s="735"/>
      <c r="C1" s="735"/>
      <c r="D1" s="735"/>
      <c r="E1" s="23"/>
      <c r="F1" s="23"/>
      <c r="G1" s="23"/>
    </row>
    <row r="2" spans="1:29" x14ac:dyDescent="0.2">
      <c r="A2" s="2"/>
      <c r="B2" s="24"/>
      <c r="C2" s="24"/>
      <c r="D2" s="24"/>
      <c r="E2" s="23"/>
      <c r="F2" s="24"/>
      <c r="G2" s="24"/>
    </row>
    <row r="3" spans="1:29" ht="33.200000000000003" customHeight="1" x14ac:dyDescent="0.2">
      <c r="A3" s="422" t="s">
        <v>1232</v>
      </c>
      <c r="B3" s="400" t="s">
        <v>1067</v>
      </c>
      <c r="C3" s="400" t="s">
        <v>1068</v>
      </c>
      <c r="D3" s="400" t="s">
        <v>90</v>
      </c>
      <c r="E3" s="11"/>
      <c r="F3" s="425" t="s">
        <v>1233</v>
      </c>
      <c r="G3" s="400" t="s">
        <v>1069</v>
      </c>
      <c r="H3" s="400" t="s">
        <v>1070</v>
      </c>
      <c r="I3" s="55"/>
      <c r="J3" s="422" t="s">
        <v>1124</v>
      </c>
      <c r="K3" s="37">
        <v>2015</v>
      </c>
      <c r="L3" s="37">
        <v>2016</v>
      </c>
      <c r="M3" s="37">
        <v>2017</v>
      </c>
      <c r="N3" s="37">
        <v>2018</v>
      </c>
      <c r="O3" s="37">
        <v>2019</v>
      </c>
      <c r="P3" s="37">
        <v>2020</v>
      </c>
      <c r="Q3" s="55"/>
      <c r="R3" s="39" t="s">
        <v>1071</v>
      </c>
      <c r="S3" s="383">
        <v>2015</v>
      </c>
      <c r="T3" s="134">
        <v>2016</v>
      </c>
      <c r="U3" s="134">
        <v>2017</v>
      </c>
      <c r="V3" s="134">
        <v>2018</v>
      </c>
      <c r="W3" s="134">
        <v>2019</v>
      </c>
      <c r="X3" s="134">
        <v>2020</v>
      </c>
      <c r="Y3" s="55"/>
      <c r="Z3" s="458" t="s">
        <v>1234</v>
      </c>
      <c r="AA3" s="4" t="s">
        <v>1072</v>
      </c>
      <c r="AB3" s="4" t="s">
        <v>1073</v>
      </c>
      <c r="AC3" s="26"/>
    </row>
    <row r="4" spans="1:29" ht="22.5" customHeight="1" x14ac:dyDescent="0.2">
      <c r="A4" s="423" t="s">
        <v>578</v>
      </c>
      <c r="B4" s="424">
        <v>3.5999999999999997E-2</v>
      </c>
      <c r="C4" s="424">
        <v>4.9000000000000002E-2</v>
      </c>
      <c r="D4" s="424">
        <v>8.5000000000000006E-2</v>
      </c>
      <c r="E4" s="11"/>
      <c r="F4" s="423" t="s">
        <v>1074</v>
      </c>
      <c r="G4" s="426"/>
      <c r="H4" s="426"/>
      <c r="I4" s="55"/>
      <c r="J4" s="400" t="s">
        <v>1067</v>
      </c>
      <c r="K4" s="279">
        <v>3.2000000000000001E-2</v>
      </c>
      <c r="L4" s="384">
        <v>0.05</v>
      </c>
      <c r="M4" s="384">
        <v>6.3E-2</v>
      </c>
      <c r="N4" s="384">
        <v>6.6000000000000003E-2</v>
      </c>
      <c r="O4" s="384">
        <v>4.5999999999999999E-2</v>
      </c>
      <c r="P4" s="384">
        <v>4.2000000000000003E-2</v>
      </c>
      <c r="Q4" s="55"/>
      <c r="R4" s="120" t="s">
        <v>1075</v>
      </c>
      <c r="S4" s="186"/>
      <c r="T4" s="186"/>
      <c r="U4" s="186"/>
      <c r="V4" s="186"/>
      <c r="W4" s="186"/>
      <c r="X4" s="186"/>
      <c r="Y4" s="55"/>
      <c r="Z4" s="120" t="s">
        <v>1076</v>
      </c>
      <c r="AA4" s="186"/>
      <c r="AB4" s="186"/>
      <c r="AC4" s="26"/>
    </row>
    <row r="5" spans="1:29" ht="22.5" customHeight="1" x14ac:dyDescent="0.2">
      <c r="A5" s="423" t="s">
        <v>76</v>
      </c>
      <c r="B5" s="424">
        <v>6.7000000000000004E-2</v>
      </c>
      <c r="C5" s="424">
        <v>5.0999999999999997E-2</v>
      </c>
      <c r="D5" s="424">
        <v>0.11799999999999999</v>
      </c>
      <c r="E5" s="11"/>
      <c r="F5" s="427" t="s">
        <v>1077</v>
      </c>
      <c r="G5" s="412">
        <v>132</v>
      </c>
      <c r="H5" s="424">
        <v>7.6999999999999999E-2</v>
      </c>
      <c r="I5" s="55"/>
      <c r="J5" s="400" t="s">
        <v>1068</v>
      </c>
      <c r="K5" s="279">
        <v>0.05</v>
      </c>
      <c r="L5" s="384">
        <v>4.3999999999999997E-2</v>
      </c>
      <c r="M5" s="384">
        <v>3.6999999999999998E-2</v>
      </c>
      <c r="N5" s="384">
        <v>4.3999999999999997E-2</v>
      </c>
      <c r="O5" s="384">
        <v>4.9000000000000002E-2</v>
      </c>
      <c r="P5" s="384">
        <v>4.9000000000000002E-2</v>
      </c>
      <c r="Q5" s="55"/>
      <c r="R5" s="97" t="s">
        <v>1068</v>
      </c>
      <c r="S5" s="115">
        <v>537</v>
      </c>
      <c r="T5" s="115">
        <v>399</v>
      </c>
      <c r="U5" s="115">
        <v>362</v>
      </c>
      <c r="V5" s="115">
        <v>399</v>
      </c>
      <c r="W5" s="115">
        <v>627</v>
      </c>
      <c r="X5" s="115">
        <v>540</v>
      </c>
      <c r="Y5" s="55"/>
      <c r="Z5" s="150" t="s">
        <v>578</v>
      </c>
      <c r="AA5" s="115">
        <v>329</v>
      </c>
      <c r="AB5" s="343">
        <v>4.4999999999999998E-2</v>
      </c>
      <c r="AC5" s="26"/>
    </row>
    <row r="6" spans="1:29" ht="22.5" customHeight="1" x14ac:dyDescent="0.2">
      <c r="A6" s="423" t="s">
        <v>1122</v>
      </c>
      <c r="B6" s="424">
        <v>4.4999999999999998E-2</v>
      </c>
      <c r="C6" s="424">
        <v>8.8999999999999996E-2</v>
      </c>
      <c r="D6" s="424">
        <v>0.13400000000000001</v>
      </c>
      <c r="E6" s="11"/>
      <c r="F6" s="427" t="s">
        <v>1078</v>
      </c>
      <c r="G6" s="412">
        <v>736</v>
      </c>
      <c r="H6" s="424">
        <v>7.5999999999999998E-2</v>
      </c>
      <c r="I6" s="26"/>
      <c r="J6" s="684" t="s">
        <v>1079</v>
      </c>
      <c r="K6" s="684"/>
      <c r="L6" s="684"/>
      <c r="M6" s="684"/>
      <c r="N6" s="684"/>
      <c r="O6" s="684"/>
      <c r="P6" s="684"/>
      <c r="R6" s="97" t="s">
        <v>1067</v>
      </c>
      <c r="S6" s="115">
        <v>340</v>
      </c>
      <c r="T6" s="115">
        <v>417</v>
      </c>
      <c r="U6" s="115">
        <v>563</v>
      </c>
      <c r="V6" s="115">
        <v>585</v>
      </c>
      <c r="W6" s="115">
        <v>581</v>
      </c>
      <c r="X6" s="115">
        <v>500</v>
      </c>
      <c r="Y6" s="55"/>
      <c r="Z6" s="150" t="s">
        <v>76</v>
      </c>
      <c r="AA6" s="115">
        <v>341</v>
      </c>
      <c r="AB6" s="343">
        <v>3.5000000000000003E-2</v>
      </c>
      <c r="AC6" s="26"/>
    </row>
    <row r="7" spans="1:29" ht="22.5" customHeight="1" x14ac:dyDescent="0.2">
      <c r="A7" s="423" t="s">
        <v>1123</v>
      </c>
      <c r="B7" s="424">
        <v>3.1E-2</v>
      </c>
      <c r="C7" s="424">
        <v>3.2000000000000001E-2</v>
      </c>
      <c r="D7" s="424">
        <v>6.4000000000000001E-2</v>
      </c>
      <c r="E7" s="11"/>
      <c r="F7" s="427" t="s">
        <v>1080</v>
      </c>
      <c r="G7" s="412">
        <v>427</v>
      </c>
      <c r="H7" s="424">
        <v>0.153</v>
      </c>
      <c r="I7" s="26"/>
      <c r="J7" s="613"/>
      <c r="K7" s="613"/>
      <c r="L7" s="613"/>
      <c r="M7" s="613"/>
      <c r="N7" s="613"/>
      <c r="O7" s="613"/>
      <c r="P7" s="613"/>
      <c r="R7" s="385" t="s">
        <v>1081</v>
      </c>
      <c r="S7" s="111">
        <v>877</v>
      </c>
      <c r="T7" s="111">
        <v>816</v>
      </c>
      <c r="U7" s="111">
        <v>925</v>
      </c>
      <c r="V7" s="111">
        <v>984</v>
      </c>
      <c r="W7" s="111">
        <v>1208</v>
      </c>
      <c r="X7" s="111">
        <v>1040</v>
      </c>
      <c r="Y7" s="55"/>
      <c r="Z7" s="150" t="s">
        <v>1082</v>
      </c>
      <c r="AA7" s="115">
        <v>409</v>
      </c>
      <c r="AB7" s="343">
        <v>3.9E-2</v>
      </c>
      <c r="AC7" s="26"/>
    </row>
    <row r="8" spans="1:29" ht="22.5" customHeight="1" x14ac:dyDescent="0.2">
      <c r="A8" s="563" t="s">
        <v>1083</v>
      </c>
      <c r="B8" s="575"/>
      <c r="C8" s="575"/>
      <c r="D8" s="575"/>
      <c r="E8" s="23"/>
      <c r="F8" s="563" t="s">
        <v>1084</v>
      </c>
      <c r="G8" s="575"/>
      <c r="H8" s="575"/>
      <c r="R8" s="97" t="s">
        <v>1085</v>
      </c>
      <c r="S8" s="343">
        <v>0.05</v>
      </c>
      <c r="T8" s="343">
        <v>0.04</v>
      </c>
      <c r="U8" s="343">
        <v>3.7999999999999999E-2</v>
      </c>
      <c r="V8" s="343">
        <v>4.1000000000000002E-2</v>
      </c>
      <c r="W8" s="343">
        <v>4.4999999999999998E-2</v>
      </c>
      <c r="X8" s="343">
        <v>4.2999999999999997E-2</v>
      </c>
      <c r="Y8" s="55"/>
      <c r="Z8" s="150" t="s">
        <v>1086</v>
      </c>
      <c r="AA8" s="115">
        <v>168</v>
      </c>
      <c r="AB8" s="343">
        <v>2.1000000000000001E-2</v>
      </c>
      <c r="AC8" s="26"/>
    </row>
    <row r="9" spans="1:29" ht="22.5" customHeight="1" x14ac:dyDescent="0.2">
      <c r="A9" s="565"/>
      <c r="B9" s="565"/>
      <c r="C9" s="565"/>
      <c r="D9" s="565"/>
      <c r="E9" s="23"/>
      <c r="F9" s="565"/>
      <c r="G9" s="565"/>
      <c r="H9" s="565"/>
      <c r="R9" s="97" t="s">
        <v>1087</v>
      </c>
      <c r="S9" s="343">
        <v>0.03</v>
      </c>
      <c r="T9" s="343">
        <v>0.05</v>
      </c>
      <c r="U9" s="343">
        <v>5.8999999999999997E-2</v>
      </c>
      <c r="V9" s="343">
        <v>0.06</v>
      </c>
      <c r="W9" s="343">
        <v>4.1000000000000002E-2</v>
      </c>
      <c r="X9" s="343">
        <v>0.04</v>
      </c>
      <c r="Y9" s="55"/>
      <c r="Z9" s="54" t="s">
        <v>1072</v>
      </c>
      <c r="AA9" s="115">
        <v>1247</v>
      </c>
      <c r="AB9" s="343">
        <v>0.14000000000000001</v>
      </c>
      <c r="AC9" s="26"/>
    </row>
    <row r="10" spans="1:29" ht="22.5" customHeight="1" x14ac:dyDescent="0.2">
      <c r="A10" s="565"/>
      <c r="B10" s="565"/>
      <c r="C10" s="565"/>
      <c r="D10" s="565"/>
      <c r="E10" s="23"/>
      <c r="F10" s="23"/>
      <c r="G10" s="23"/>
      <c r="R10" s="385" t="s">
        <v>1088</v>
      </c>
      <c r="S10" s="354">
        <v>0.08</v>
      </c>
      <c r="T10" s="354">
        <v>0.09</v>
      </c>
      <c r="U10" s="354">
        <v>9.7000000000000003E-2</v>
      </c>
      <c r="V10" s="354">
        <v>0.10100000000000001</v>
      </c>
      <c r="W10" s="354">
        <v>8.5999999999999993E-2</v>
      </c>
      <c r="X10" s="354">
        <v>8.4000000000000005E-2</v>
      </c>
      <c r="Y10" s="55"/>
      <c r="Z10" s="120" t="s">
        <v>1089</v>
      </c>
      <c r="AA10" s="186"/>
      <c r="AB10" s="186"/>
      <c r="AC10" s="26"/>
    </row>
    <row r="11" spans="1:29" ht="22.5" customHeight="1" x14ac:dyDescent="0.2">
      <c r="A11" s="23"/>
      <c r="B11" s="23"/>
      <c r="C11" s="23"/>
      <c r="D11" s="23"/>
      <c r="E11" s="23"/>
      <c r="F11" s="23"/>
      <c r="G11" s="23"/>
      <c r="R11" s="120" t="s">
        <v>1090</v>
      </c>
      <c r="S11" s="186"/>
      <c r="T11" s="186"/>
      <c r="U11" s="186"/>
      <c r="V11" s="186"/>
      <c r="W11" s="186"/>
      <c r="X11" s="186"/>
      <c r="Y11" s="55"/>
      <c r="Z11" s="150" t="s">
        <v>1020</v>
      </c>
      <c r="AA11" s="115">
        <v>298</v>
      </c>
      <c r="AB11" s="343">
        <v>0.04</v>
      </c>
      <c r="AC11" s="26"/>
    </row>
    <row r="12" spans="1:29" ht="22.5" customHeight="1" x14ac:dyDescent="0.2">
      <c r="A12" s="7"/>
      <c r="B12" s="7"/>
      <c r="C12" s="7"/>
      <c r="D12" s="7"/>
      <c r="E12" s="23"/>
      <c r="F12" s="23"/>
      <c r="G12" s="23"/>
      <c r="R12" s="97" t="s">
        <v>1068</v>
      </c>
      <c r="S12" s="115">
        <v>104</v>
      </c>
      <c r="T12" s="115">
        <v>62</v>
      </c>
      <c r="U12" s="115">
        <v>53</v>
      </c>
      <c r="V12" s="115">
        <v>104</v>
      </c>
      <c r="W12" s="115">
        <v>172</v>
      </c>
      <c r="X12" s="115">
        <v>154</v>
      </c>
      <c r="Y12" s="55"/>
      <c r="Z12" s="150" t="s">
        <v>1021</v>
      </c>
      <c r="AA12" s="115">
        <v>949</v>
      </c>
      <c r="AB12" s="343">
        <v>0.1</v>
      </c>
      <c r="AC12" s="26"/>
    </row>
    <row r="13" spans="1:29" ht="22.5" customHeight="1" x14ac:dyDescent="0.2">
      <c r="A13" s="7"/>
      <c r="B13" s="7"/>
      <c r="C13" s="7"/>
      <c r="D13" s="7"/>
      <c r="E13" s="23"/>
      <c r="F13" s="23"/>
      <c r="G13" s="23"/>
      <c r="R13" s="97" t="s">
        <v>1067</v>
      </c>
      <c r="S13" s="115">
        <v>72</v>
      </c>
      <c r="T13" s="115">
        <v>108</v>
      </c>
      <c r="U13" s="115">
        <v>140</v>
      </c>
      <c r="V13" s="115">
        <v>169</v>
      </c>
      <c r="W13" s="115">
        <v>172</v>
      </c>
      <c r="X13" s="115">
        <v>104</v>
      </c>
      <c r="Y13" s="55"/>
      <c r="Z13" s="54" t="s">
        <v>1072</v>
      </c>
      <c r="AA13" s="115">
        <v>1247</v>
      </c>
      <c r="AB13" s="343">
        <v>0.14000000000000001</v>
      </c>
      <c r="AC13" s="26"/>
    </row>
    <row r="14" spans="1:29" ht="22.5" customHeight="1" x14ac:dyDescent="0.2">
      <c r="A14" s="7"/>
      <c r="B14" s="7"/>
      <c r="C14" s="7"/>
      <c r="D14" s="7"/>
      <c r="E14" s="23"/>
      <c r="F14" s="23"/>
      <c r="G14" s="23"/>
      <c r="R14" s="385" t="s">
        <v>1091</v>
      </c>
      <c r="S14" s="111">
        <v>176</v>
      </c>
      <c r="T14" s="111">
        <v>170</v>
      </c>
      <c r="U14" s="111">
        <v>193</v>
      </c>
      <c r="V14" s="111">
        <v>273</v>
      </c>
      <c r="W14" s="111">
        <v>344</v>
      </c>
      <c r="X14" s="111">
        <v>258</v>
      </c>
      <c r="Y14" s="55"/>
      <c r="Z14" s="120" t="s">
        <v>1092</v>
      </c>
      <c r="AA14" s="186"/>
      <c r="AB14" s="186"/>
      <c r="AC14" s="26"/>
    </row>
    <row r="15" spans="1:29" ht="22.5" customHeight="1" x14ac:dyDescent="0.2">
      <c r="A15" s="7"/>
      <c r="B15" s="7"/>
      <c r="C15" s="7"/>
      <c r="D15" s="7"/>
      <c r="E15" s="23"/>
      <c r="F15" s="23"/>
      <c r="G15" s="23"/>
      <c r="R15" s="97" t="s">
        <v>1085</v>
      </c>
      <c r="S15" s="343">
        <v>0.08</v>
      </c>
      <c r="T15" s="343">
        <v>0.04</v>
      </c>
      <c r="U15" s="343">
        <v>3.3000000000000002E-2</v>
      </c>
      <c r="V15" s="343">
        <v>0.06</v>
      </c>
      <c r="W15" s="343">
        <v>7.3999999999999996E-2</v>
      </c>
      <c r="X15" s="343">
        <v>8.4000000000000005E-2</v>
      </c>
      <c r="Y15" s="55"/>
      <c r="Z15" s="97" t="s">
        <v>1077</v>
      </c>
      <c r="AA15" s="115">
        <v>487</v>
      </c>
      <c r="AB15" s="343">
        <v>6.9000000000000006E-2</v>
      </c>
      <c r="AC15" s="26"/>
    </row>
    <row r="16" spans="1:29" ht="22.5" customHeight="1" x14ac:dyDescent="0.2">
      <c r="A16" s="7"/>
      <c r="B16" s="7"/>
      <c r="C16" s="7"/>
      <c r="D16" s="7"/>
      <c r="E16" s="23"/>
      <c r="F16" s="23"/>
      <c r="G16" s="23"/>
      <c r="R16" s="97" t="s">
        <v>1087</v>
      </c>
      <c r="S16" s="343">
        <v>0.05</v>
      </c>
      <c r="T16" s="343">
        <v>0.08</v>
      </c>
      <c r="U16" s="343">
        <v>8.7999999999999995E-2</v>
      </c>
      <c r="V16" s="343">
        <v>9.8000000000000004E-2</v>
      </c>
      <c r="W16" s="343">
        <v>7.3999999999999996E-2</v>
      </c>
      <c r="X16" s="343">
        <v>5.7000000000000002E-2</v>
      </c>
      <c r="Y16" s="55"/>
      <c r="Z16" s="97" t="s">
        <v>1078</v>
      </c>
      <c r="AA16" s="115">
        <v>635</v>
      </c>
      <c r="AB16" s="343">
        <v>5.8000000000000003E-2</v>
      </c>
      <c r="AC16" s="26"/>
    </row>
    <row r="17" spans="1:29" ht="22.5" customHeight="1" x14ac:dyDescent="0.2">
      <c r="A17" s="7"/>
      <c r="B17" s="7"/>
      <c r="C17" s="7"/>
      <c r="D17" s="7"/>
      <c r="E17" s="23"/>
      <c r="F17" s="23"/>
      <c r="G17" s="23"/>
      <c r="R17" s="385" t="s">
        <v>1093</v>
      </c>
      <c r="S17" s="354">
        <v>0.13</v>
      </c>
      <c r="T17" s="354">
        <v>0.12</v>
      </c>
      <c r="U17" s="354">
        <v>0.121</v>
      </c>
      <c r="V17" s="354">
        <v>0.159</v>
      </c>
      <c r="W17" s="354">
        <v>0.14699999999999999</v>
      </c>
      <c r="X17" s="354">
        <v>0.14000000000000001</v>
      </c>
      <c r="Y17" s="55"/>
      <c r="Z17" s="97" t="s">
        <v>1080</v>
      </c>
      <c r="AA17" s="115">
        <v>120</v>
      </c>
      <c r="AB17" s="343">
        <v>1.2999999999999999E-2</v>
      </c>
      <c r="AC17" s="26"/>
    </row>
    <row r="18" spans="1:29" ht="22.5" customHeight="1" x14ac:dyDescent="0.2">
      <c r="A18" s="7"/>
      <c r="B18" s="7"/>
      <c r="C18" s="7"/>
      <c r="D18" s="7"/>
      <c r="E18" s="23"/>
      <c r="F18" s="23"/>
      <c r="G18" s="23"/>
      <c r="R18" s="563" t="s">
        <v>1094</v>
      </c>
      <c r="S18" s="563"/>
      <c r="T18" s="563"/>
      <c r="U18" s="563"/>
      <c r="V18" s="563"/>
      <c r="W18" s="563"/>
      <c r="X18" s="563"/>
      <c r="Z18" s="120" t="s">
        <v>1095</v>
      </c>
      <c r="AA18" s="386">
        <v>1242</v>
      </c>
      <c r="AB18" s="387">
        <v>0.14000000000000001</v>
      </c>
      <c r="AC18" s="26"/>
    </row>
    <row r="19" spans="1:29" ht="22.5" customHeight="1" x14ac:dyDescent="0.2">
      <c r="A19" s="7"/>
      <c r="B19" s="7"/>
      <c r="C19" s="7"/>
      <c r="D19" s="7"/>
      <c r="E19" s="23"/>
      <c r="F19" s="23"/>
      <c r="G19" s="23"/>
      <c r="Z19" s="563" t="s">
        <v>1096</v>
      </c>
      <c r="AA19" s="563"/>
      <c r="AB19" s="563"/>
    </row>
    <row r="20" spans="1:29" ht="22.5" customHeight="1" x14ac:dyDescent="0.2">
      <c r="A20" s="7"/>
      <c r="B20" s="7"/>
      <c r="C20" s="7"/>
      <c r="D20" s="7"/>
      <c r="E20" s="23"/>
      <c r="F20" s="23"/>
      <c r="G20" s="23"/>
      <c r="Z20" s="564"/>
      <c r="AA20" s="564"/>
      <c r="AB20" s="564"/>
    </row>
    <row r="21" spans="1:29" ht="22.5" customHeight="1" x14ac:dyDescent="0.2">
      <c r="A21" s="7"/>
      <c r="B21" s="7"/>
      <c r="C21" s="7"/>
      <c r="D21" s="7"/>
      <c r="E21" s="23"/>
      <c r="F21" s="23"/>
      <c r="G21" s="23"/>
      <c r="Z21" s="564"/>
      <c r="AA21" s="564"/>
      <c r="AB21" s="564"/>
    </row>
    <row r="22" spans="1:29" ht="22.5" customHeight="1" x14ac:dyDescent="0.2">
      <c r="A22" s="7"/>
      <c r="B22" s="7"/>
      <c r="C22" s="7"/>
      <c r="D22" s="7"/>
      <c r="E22" s="23"/>
      <c r="F22" s="23"/>
      <c r="G22" s="23"/>
    </row>
    <row r="23" spans="1:29" ht="22.5" customHeight="1" x14ac:dyDescent="0.2">
      <c r="A23" s="7"/>
      <c r="B23" s="7"/>
      <c r="C23" s="7"/>
      <c r="D23" s="7"/>
      <c r="E23" s="23"/>
      <c r="F23" s="23"/>
      <c r="G23" s="23"/>
      <c r="Z23" s="7"/>
      <c r="AA23" s="7"/>
      <c r="AB23" s="7"/>
    </row>
    <row r="24" spans="1:29" ht="22.5" customHeight="1" x14ac:dyDescent="0.2">
      <c r="A24" s="7"/>
      <c r="B24" s="7"/>
      <c r="C24" s="7"/>
      <c r="D24" s="7"/>
      <c r="E24" s="23"/>
      <c r="F24" s="23"/>
      <c r="G24" s="23"/>
      <c r="Z24" s="7"/>
      <c r="AA24" s="7"/>
      <c r="AB24" s="7"/>
    </row>
    <row r="25" spans="1:29" ht="22.5" customHeight="1" x14ac:dyDescent="0.2">
      <c r="A25" s="7"/>
      <c r="B25" s="7"/>
      <c r="C25" s="7"/>
      <c r="D25" s="7"/>
      <c r="E25" s="23"/>
      <c r="F25" s="23"/>
      <c r="G25" s="23"/>
      <c r="Z25" s="7"/>
      <c r="AA25" s="7"/>
      <c r="AB25" s="7"/>
    </row>
    <row r="26" spans="1:29" ht="22.5" customHeight="1" x14ac:dyDescent="0.2">
      <c r="A26" s="7"/>
      <c r="B26" s="7"/>
      <c r="C26" s="7"/>
      <c r="D26" s="7"/>
      <c r="E26" s="23"/>
      <c r="F26" s="23"/>
      <c r="G26" s="23"/>
      <c r="Z26" s="7"/>
      <c r="AA26" s="7"/>
      <c r="AB26" s="7"/>
    </row>
    <row r="27" spans="1:29" ht="22.5" customHeight="1" x14ac:dyDescent="0.2">
      <c r="A27" s="7"/>
      <c r="B27" s="7"/>
      <c r="C27" s="7"/>
      <c r="D27" s="7"/>
      <c r="E27" s="23"/>
      <c r="F27" s="23"/>
      <c r="G27" s="23"/>
      <c r="Z27" s="7"/>
      <c r="AA27" s="7"/>
      <c r="AB27" s="7"/>
    </row>
    <row r="28" spans="1:29" ht="22.5" customHeight="1" x14ac:dyDescent="0.2">
      <c r="A28" s="7"/>
      <c r="B28" s="7"/>
      <c r="C28" s="7"/>
      <c r="D28" s="7"/>
      <c r="F28" s="7"/>
      <c r="G28" s="7"/>
      <c r="Z28" s="7"/>
      <c r="AA28" s="7"/>
      <c r="AB28" s="7"/>
    </row>
    <row r="29" spans="1:29" ht="22.5" customHeight="1" x14ac:dyDescent="0.2">
      <c r="A29" s="7"/>
      <c r="B29" s="7"/>
      <c r="C29" s="7"/>
      <c r="D29" s="7"/>
      <c r="Z29" s="7"/>
      <c r="AA29" s="7"/>
      <c r="AB29" s="7"/>
    </row>
    <row r="30" spans="1:29" ht="22.5" customHeight="1" x14ac:dyDescent="0.2">
      <c r="A30" s="7"/>
      <c r="B30" s="7"/>
      <c r="C30" s="7"/>
      <c r="D30" s="7"/>
      <c r="F30" s="7"/>
      <c r="Z30" s="7"/>
      <c r="AA30" s="7"/>
      <c r="AB30" s="7"/>
    </row>
    <row r="31" spans="1:29" ht="22.5" customHeight="1" x14ac:dyDescent="0.2">
      <c r="A31" s="7"/>
      <c r="B31" s="7"/>
      <c r="C31" s="7"/>
      <c r="D31" s="7"/>
      <c r="F31" s="7"/>
      <c r="Z31" s="7"/>
      <c r="AA31" s="7"/>
      <c r="AB31" s="7"/>
    </row>
    <row r="32" spans="1:29" ht="22.5" customHeight="1" x14ac:dyDescent="0.2">
      <c r="A32" s="7"/>
      <c r="B32" s="7"/>
      <c r="C32" s="7"/>
      <c r="D32" s="7"/>
      <c r="F32" s="7"/>
      <c r="Z32" s="7"/>
      <c r="AA32" s="7"/>
      <c r="AB32" s="7"/>
    </row>
    <row r="33" spans="1:28" ht="22.5" customHeight="1" x14ac:dyDescent="0.2">
      <c r="A33" s="7"/>
      <c r="B33" s="7"/>
      <c r="C33" s="7"/>
      <c r="D33" s="7"/>
      <c r="F33" s="7"/>
      <c r="Z33" s="7"/>
      <c r="AA33" s="7"/>
      <c r="AB33" s="7"/>
    </row>
    <row r="34" spans="1:28" ht="22.5" customHeight="1" x14ac:dyDescent="0.2">
      <c r="A34" s="7"/>
      <c r="B34" s="7"/>
      <c r="C34" s="7"/>
      <c r="D34" s="7"/>
      <c r="F34" s="7"/>
      <c r="Z34" s="7"/>
      <c r="AA34" s="7"/>
      <c r="AB34" s="7"/>
    </row>
    <row r="35" spans="1:28" ht="22.5" customHeight="1" x14ac:dyDescent="0.2">
      <c r="A35" s="7"/>
      <c r="B35" s="7"/>
      <c r="C35" s="7"/>
      <c r="D35" s="7"/>
      <c r="F35" s="7"/>
      <c r="Z35" s="7"/>
      <c r="AA35" s="7"/>
      <c r="AB35" s="7"/>
    </row>
    <row r="36" spans="1:28" ht="22.5" customHeight="1" x14ac:dyDescent="0.2">
      <c r="A36" s="7"/>
      <c r="B36" s="7"/>
      <c r="C36" s="7"/>
      <c r="D36" s="7"/>
      <c r="Z36" s="7"/>
      <c r="AA36" s="7"/>
      <c r="AB36" s="7"/>
    </row>
    <row r="37" spans="1:28" ht="22.5" customHeight="1" x14ac:dyDescent="0.2">
      <c r="A37" s="7"/>
      <c r="B37" s="7"/>
      <c r="C37" s="7"/>
      <c r="D37" s="7"/>
      <c r="F37" s="7"/>
      <c r="Z37" s="7"/>
      <c r="AA37" s="7"/>
      <c r="AB37" s="7"/>
    </row>
    <row r="38" spans="1:28" ht="22.5" customHeight="1" x14ac:dyDescent="0.2">
      <c r="A38" s="7"/>
      <c r="B38" s="7"/>
      <c r="C38" s="7"/>
      <c r="D38" s="7"/>
      <c r="F38" s="7"/>
      <c r="Z38" s="7"/>
      <c r="AA38" s="7"/>
      <c r="AB38" s="7"/>
    </row>
    <row r="39" spans="1:28" ht="22.5" customHeight="1" x14ac:dyDescent="0.2">
      <c r="A39" s="7"/>
      <c r="B39" s="7"/>
      <c r="C39" s="7"/>
      <c r="D39" s="7"/>
      <c r="F39" s="7"/>
      <c r="Z39" s="7"/>
      <c r="AA39" s="7"/>
      <c r="AB39" s="7"/>
    </row>
    <row r="40" spans="1:28" ht="22.5" customHeight="1" x14ac:dyDescent="0.2">
      <c r="A40" s="7"/>
      <c r="B40" s="7"/>
      <c r="C40" s="7"/>
      <c r="D40" s="7"/>
      <c r="F40" s="7"/>
      <c r="Z40" s="7"/>
      <c r="AA40" s="7"/>
      <c r="AB40" s="7"/>
    </row>
    <row r="41" spans="1:28" ht="22.5" customHeight="1" x14ac:dyDescent="0.2">
      <c r="A41" s="7"/>
      <c r="B41" s="7"/>
      <c r="C41" s="7"/>
      <c r="D41" s="7"/>
      <c r="F41" s="7"/>
      <c r="Z41" s="7"/>
      <c r="AA41" s="7"/>
      <c r="AB41" s="7"/>
    </row>
    <row r="42" spans="1:28" ht="22.5" customHeight="1" x14ac:dyDescent="0.2">
      <c r="A42" s="7"/>
      <c r="B42" s="7"/>
      <c r="C42" s="7"/>
      <c r="D42" s="7"/>
      <c r="F42" s="7"/>
      <c r="Z42" s="7"/>
      <c r="AA42" s="7"/>
      <c r="AB42" s="7"/>
    </row>
    <row r="43" spans="1:28" ht="22.5" customHeight="1" x14ac:dyDescent="0.2">
      <c r="A43" s="7"/>
      <c r="B43" s="7"/>
      <c r="C43" s="7"/>
      <c r="D43" s="7"/>
      <c r="Z43" s="7"/>
      <c r="AA43" s="7"/>
      <c r="AB43" s="7"/>
    </row>
    <row r="44" spans="1:28" ht="22.5" customHeight="1" x14ac:dyDescent="0.2">
      <c r="A44" s="7"/>
      <c r="B44" s="7"/>
      <c r="C44" s="7"/>
      <c r="D44" s="7"/>
      <c r="E44" s="23"/>
      <c r="F44" s="23"/>
      <c r="G44" s="23"/>
      <c r="Z44" s="7"/>
      <c r="AA44" s="7"/>
      <c r="AB44" s="7"/>
    </row>
    <row r="45" spans="1:28" ht="22.5" customHeight="1" x14ac:dyDescent="0.2">
      <c r="A45" s="7"/>
      <c r="B45" s="7"/>
      <c r="C45" s="7"/>
      <c r="D45" s="7"/>
      <c r="E45" s="23"/>
      <c r="F45" s="23"/>
      <c r="G45" s="23"/>
      <c r="Z45" s="7"/>
      <c r="AA45" s="7"/>
      <c r="AB45" s="7"/>
    </row>
    <row r="46" spans="1:28" ht="22.5" customHeight="1" x14ac:dyDescent="0.2">
      <c r="A46" s="7"/>
      <c r="B46" s="7"/>
      <c r="C46" s="7"/>
      <c r="D46" s="7"/>
      <c r="E46" s="23"/>
      <c r="F46" s="23"/>
      <c r="G46" s="23"/>
      <c r="Z46" s="7"/>
      <c r="AA46" s="7"/>
      <c r="AB46" s="7"/>
    </row>
    <row r="47" spans="1:28" ht="22.5" customHeight="1" x14ac:dyDescent="0.2">
      <c r="A47" s="7"/>
      <c r="B47" s="7"/>
      <c r="C47" s="7"/>
      <c r="D47" s="23"/>
      <c r="E47" s="23"/>
      <c r="F47" s="23"/>
      <c r="G47" s="23"/>
      <c r="Z47" s="7"/>
      <c r="AA47" s="7"/>
      <c r="AB47" s="7"/>
    </row>
    <row r="48" spans="1:28" ht="22.5" customHeight="1" x14ac:dyDescent="0.2">
      <c r="A48" s="7"/>
      <c r="B48" s="7"/>
      <c r="C48" s="7"/>
      <c r="D48" s="23"/>
      <c r="E48" s="23"/>
      <c r="F48" s="23"/>
      <c r="G48" s="23"/>
      <c r="Z48" s="7"/>
      <c r="AA48" s="7"/>
      <c r="AB48" s="7"/>
    </row>
    <row r="49" spans="1:28" ht="22.5" customHeight="1" x14ac:dyDescent="0.2">
      <c r="A49" s="7"/>
      <c r="B49" s="7"/>
      <c r="C49" s="7"/>
      <c r="D49" s="23"/>
      <c r="E49" s="23"/>
      <c r="F49" s="23"/>
      <c r="G49" s="23"/>
      <c r="Z49" s="7"/>
      <c r="AA49" s="7"/>
      <c r="AB49" s="7"/>
    </row>
    <row r="50" spans="1:28" ht="22.5" customHeight="1" x14ac:dyDescent="0.2">
      <c r="A50" s="7"/>
      <c r="B50" s="7"/>
      <c r="C50" s="7"/>
      <c r="D50" s="23"/>
      <c r="E50" s="23"/>
      <c r="F50" s="23"/>
      <c r="G50" s="23"/>
      <c r="Z50" s="7"/>
      <c r="AA50" s="7"/>
      <c r="AB50" s="7"/>
    </row>
    <row r="51" spans="1:28" ht="22.5" customHeight="1" x14ac:dyDescent="0.2">
      <c r="A51" s="7"/>
      <c r="B51" s="7"/>
      <c r="C51" s="7"/>
      <c r="D51" s="23"/>
      <c r="E51" s="23"/>
      <c r="F51" s="23"/>
      <c r="G51" s="23"/>
      <c r="Z51" s="7"/>
      <c r="AA51" s="7"/>
      <c r="AB51" s="7"/>
    </row>
    <row r="52" spans="1:28" ht="21.6" customHeight="1" x14ac:dyDescent="0.2">
      <c r="A52" s="7"/>
      <c r="D52" s="23"/>
      <c r="E52" s="23"/>
      <c r="F52" s="23"/>
      <c r="G52" s="23"/>
    </row>
    <row r="53" spans="1:28" ht="21.6" customHeight="1" x14ac:dyDescent="0.2">
      <c r="A53" s="7"/>
      <c r="B53" s="7"/>
      <c r="C53" s="7"/>
      <c r="D53" s="23"/>
      <c r="E53" s="23"/>
      <c r="F53" s="23"/>
      <c r="G53" s="23"/>
    </row>
    <row r="54" spans="1:28" ht="21.6" customHeight="1" x14ac:dyDescent="0.2">
      <c r="A54" s="7"/>
      <c r="B54" s="7"/>
      <c r="C54" s="7"/>
      <c r="D54" s="23"/>
      <c r="E54" s="23"/>
      <c r="F54" s="23"/>
      <c r="G54" s="23"/>
    </row>
    <row r="55" spans="1:28" ht="21.6" customHeight="1" x14ac:dyDescent="0.2">
      <c r="A55" s="7"/>
      <c r="B55" s="7"/>
      <c r="C55" s="7"/>
      <c r="D55" s="23"/>
      <c r="E55" s="23"/>
      <c r="F55" s="23"/>
      <c r="G55" s="23"/>
    </row>
    <row r="56" spans="1:28" ht="21.6" customHeight="1" x14ac:dyDescent="0.2">
      <c r="A56" s="7"/>
      <c r="D56" s="23"/>
      <c r="E56" s="23"/>
      <c r="F56" s="23"/>
      <c r="G56" s="23"/>
    </row>
    <row r="57" spans="1:28" ht="21.6" customHeight="1" x14ac:dyDescent="0.2">
      <c r="A57" s="7"/>
      <c r="B57" s="7"/>
      <c r="C57" s="7"/>
      <c r="D57" s="23"/>
      <c r="E57" s="23"/>
      <c r="F57" s="23"/>
      <c r="G57" s="23"/>
    </row>
    <row r="58" spans="1:28" ht="21.6" customHeight="1" x14ac:dyDescent="0.2">
      <c r="A58" s="7"/>
      <c r="B58" s="7"/>
      <c r="C58" s="7"/>
      <c r="D58" s="23"/>
      <c r="E58" s="23"/>
      <c r="F58" s="23"/>
      <c r="G58" s="23"/>
    </row>
    <row r="59" spans="1:28" ht="21.6" customHeight="1" x14ac:dyDescent="0.2">
      <c r="A59" s="7"/>
      <c r="B59" s="7"/>
      <c r="C59" s="7"/>
      <c r="D59" s="23"/>
      <c r="E59" s="23"/>
      <c r="F59" s="23"/>
      <c r="G59" s="23"/>
    </row>
    <row r="60" spans="1:28" ht="21.6" customHeight="1" x14ac:dyDescent="0.2">
      <c r="A60" s="7"/>
      <c r="B60" s="7"/>
      <c r="C60" s="7"/>
      <c r="D60" s="23"/>
      <c r="E60" s="23"/>
      <c r="F60" s="23"/>
      <c r="G60" s="23"/>
    </row>
    <row r="61" spans="1:28" ht="39.950000000000003" customHeight="1" x14ac:dyDescent="0.2">
      <c r="A61" s="7"/>
      <c r="D61" s="23"/>
      <c r="E61" s="23"/>
      <c r="F61" s="23"/>
      <c r="G61" s="23"/>
    </row>
    <row r="62" spans="1:28" ht="14.1" customHeight="1" x14ac:dyDescent="0.2">
      <c r="D62" s="23"/>
      <c r="E62" s="23"/>
      <c r="F62" s="23"/>
      <c r="G62" s="23"/>
    </row>
    <row r="63" spans="1:28" ht="65.849999999999994" customHeight="1" x14ac:dyDescent="0.2">
      <c r="D63" s="23"/>
      <c r="E63" s="23"/>
      <c r="F63" s="23"/>
      <c r="G63" s="23"/>
    </row>
  </sheetData>
  <sheetProtection algorithmName="SHA-512" hashValue="tT7EAIhHH92wjMv4DvLRLh65juMvTlJ1A3wtqLoyeBaLhYCvzLmxD2N7er+0WfMrYXFRdh0Cc/IQehJeFJ1FrQ==" saltValue="g+x6vUAjPjLl5yV2mh3FUw==" spinCount="100000" sheet="1" objects="1" scenarios="1"/>
  <mergeCells count="6">
    <mergeCell ref="Z19:AB21"/>
    <mergeCell ref="A1:D1"/>
    <mergeCell ref="F8:H9"/>
    <mergeCell ref="J6:P7"/>
    <mergeCell ref="A8:D10"/>
    <mergeCell ref="R18:X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B55"/>
  <sheetViews>
    <sheetView showGridLines="0" showRuler="0" zoomScale="90" zoomScaleNormal="90" workbookViewId="0">
      <selection activeCell="E7" sqref="E7"/>
    </sheetView>
  </sheetViews>
  <sheetFormatPr defaultColWidth="13.140625" defaultRowHeight="12.75" x14ac:dyDescent="0.2"/>
  <cols>
    <col min="1" max="1" width="28.42578125" customWidth="1"/>
    <col min="2" max="7" width="31.85546875" customWidth="1"/>
    <col min="8" max="8" width="10" customWidth="1"/>
    <col min="9" max="9" width="38.28515625" customWidth="1"/>
    <col min="10" max="10" width="17.28515625" hidden="1" customWidth="1"/>
    <col min="11" max="15" width="17.28515625" customWidth="1"/>
    <col min="16" max="16" width="7.28515625" customWidth="1"/>
    <col min="17" max="17" width="50.28515625" customWidth="1"/>
    <col min="18" max="18" width="19.5703125" hidden="1" customWidth="1"/>
    <col min="19" max="23" width="19.5703125" customWidth="1"/>
    <col min="24" max="24" width="5.5703125" customWidth="1"/>
    <col min="25" max="25" width="33.7109375" customWidth="1"/>
    <col min="28" max="28" width="20" customWidth="1"/>
  </cols>
  <sheetData>
    <row r="1" spans="1:28" ht="17.45" customHeight="1" x14ac:dyDescent="0.2">
      <c r="A1" s="734" t="s">
        <v>1097</v>
      </c>
      <c r="B1" s="734"/>
      <c r="C1" s="734"/>
      <c r="D1" s="734"/>
      <c r="E1" s="23"/>
      <c r="F1" s="23"/>
      <c r="G1" s="23"/>
      <c r="H1" s="23"/>
    </row>
    <row r="2" spans="1:28" x14ac:dyDescent="0.2">
      <c r="A2" s="24"/>
      <c r="B2" s="24"/>
      <c r="C2" s="24"/>
      <c r="D2" s="24"/>
      <c r="E2" s="24"/>
      <c r="F2" s="24"/>
      <c r="G2" s="24"/>
      <c r="H2" s="23"/>
    </row>
    <row r="3" spans="1:28" ht="66.599999999999994" customHeight="1" x14ac:dyDescent="0.2">
      <c r="A3" s="461" t="s">
        <v>1235</v>
      </c>
      <c r="B3" s="4" t="s">
        <v>1098</v>
      </c>
      <c r="C3" s="4" t="s">
        <v>1099</v>
      </c>
      <c r="D3" s="4" t="s">
        <v>1100</v>
      </c>
      <c r="E3" s="4" t="s">
        <v>1010</v>
      </c>
      <c r="F3" s="4" t="s">
        <v>1101</v>
      </c>
      <c r="G3" s="4" t="s">
        <v>1102</v>
      </c>
      <c r="H3" s="55"/>
      <c r="I3" s="39" t="s">
        <v>1103</v>
      </c>
      <c r="J3" s="37">
        <v>2015</v>
      </c>
      <c r="K3" s="37">
        <v>2016</v>
      </c>
      <c r="L3" s="37">
        <v>2017</v>
      </c>
      <c r="M3" s="37">
        <v>2018</v>
      </c>
      <c r="N3" s="37">
        <v>2019</v>
      </c>
      <c r="O3" s="37">
        <v>2020</v>
      </c>
      <c r="P3" s="55"/>
      <c r="Q3" s="39" t="s">
        <v>1104</v>
      </c>
      <c r="R3" s="37" t="s">
        <v>175</v>
      </c>
      <c r="S3" s="37" t="s">
        <v>176</v>
      </c>
      <c r="T3" s="37" t="s">
        <v>177</v>
      </c>
      <c r="U3" s="37" t="s">
        <v>303</v>
      </c>
      <c r="V3" s="37" t="s">
        <v>304</v>
      </c>
      <c r="W3" s="37" t="s">
        <v>305</v>
      </c>
      <c r="X3" s="60"/>
      <c r="Y3" s="458" t="s">
        <v>1236</v>
      </c>
      <c r="Z3" s="4" t="s">
        <v>1020</v>
      </c>
      <c r="AA3" s="4" t="s">
        <v>1021</v>
      </c>
      <c r="AB3" s="300"/>
    </row>
    <row r="4" spans="1:28" ht="21.6" customHeight="1" x14ac:dyDescent="0.2">
      <c r="A4" s="40" t="s">
        <v>1030</v>
      </c>
      <c r="B4" s="250">
        <v>41</v>
      </c>
      <c r="C4" s="250">
        <v>38</v>
      </c>
      <c r="D4" s="343">
        <v>0.92700000000000005</v>
      </c>
      <c r="E4" s="250">
        <v>121</v>
      </c>
      <c r="F4" s="250">
        <v>109</v>
      </c>
      <c r="G4" s="343">
        <v>0.90100000000000002</v>
      </c>
      <c r="H4" s="55"/>
      <c r="I4" s="40" t="s">
        <v>1105</v>
      </c>
      <c r="J4" s="388">
        <v>10</v>
      </c>
      <c r="K4" s="388">
        <v>7.9</v>
      </c>
      <c r="L4" s="388">
        <v>7.9</v>
      </c>
      <c r="M4" s="388">
        <v>8</v>
      </c>
      <c r="N4" s="388">
        <v>8.9</v>
      </c>
      <c r="O4" s="388">
        <v>8</v>
      </c>
      <c r="P4" s="55"/>
      <c r="Q4" s="40" t="s">
        <v>1030</v>
      </c>
      <c r="R4" s="250">
        <v>22</v>
      </c>
      <c r="S4" s="250">
        <v>20</v>
      </c>
      <c r="T4" s="250">
        <v>14</v>
      </c>
      <c r="U4" s="250">
        <v>23</v>
      </c>
      <c r="V4" s="250">
        <v>5</v>
      </c>
      <c r="W4" s="250">
        <v>5</v>
      </c>
      <c r="X4" s="291"/>
      <c r="Y4" s="40" t="s">
        <v>1030</v>
      </c>
      <c r="Z4" s="250">
        <v>3</v>
      </c>
      <c r="AA4" s="250">
        <v>5</v>
      </c>
      <c r="AB4" s="181"/>
    </row>
    <row r="5" spans="1:28" ht="21.6" customHeight="1" x14ac:dyDescent="0.2">
      <c r="A5" s="40" t="s">
        <v>1033</v>
      </c>
      <c r="B5" s="250">
        <v>281</v>
      </c>
      <c r="C5" s="250">
        <v>268</v>
      </c>
      <c r="D5" s="389">
        <v>0.95399999999999996</v>
      </c>
      <c r="E5" s="250">
        <v>1760</v>
      </c>
      <c r="F5" s="250">
        <v>1726</v>
      </c>
      <c r="G5" s="389">
        <v>0.98099999999999998</v>
      </c>
      <c r="H5" s="55"/>
      <c r="I5" s="40" t="s">
        <v>1106</v>
      </c>
      <c r="J5" s="115">
        <v>869225</v>
      </c>
      <c r="K5" s="115">
        <v>671242</v>
      </c>
      <c r="L5" s="115">
        <v>828126</v>
      </c>
      <c r="M5" s="115">
        <v>808780</v>
      </c>
      <c r="N5" s="115">
        <v>736807</v>
      </c>
      <c r="O5" s="115">
        <v>487920</v>
      </c>
      <c r="P5" s="55"/>
      <c r="Q5" s="40" t="s">
        <v>1033</v>
      </c>
      <c r="R5" s="250">
        <v>81</v>
      </c>
      <c r="S5" s="250">
        <v>83</v>
      </c>
      <c r="T5" s="250">
        <v>68</v>
      </c>
      <c r="U5" s="250">
        <v>85</v>
      </c>
      <c r="V5" s="250">
        <v>31</v>
      </c>
      <c r="W5" s="250">
        <v>22</v>
      </c>
      <c r="X5" s="291"/>
      <c r="Y5" s="40" t="s">
        <v>1033</v>
      </c>
      <c r="Z5" s="250">
        <v>18</v>
      </c>
      <c r="AA5" s="250">
        <v>23</v>
      </c>
      <c r="AB5" s="181"/>
    </row>
    <row r="6" spans="1:28" ht="21.6" customHeight="1" x14ac:dyDescent="0.2">
      <c r="A6" s="40" t="s">
        <v>1035</v>
      </c>
      <c r="B6" s="250">
        <v>829</v>
      </c>
      <c r="C6" s="250">
        <v>859</v>
      </c>
      <c r="D6" s="389">
        <v>1.036</v>
      </c>
      <c r="E6" s="250">
        <v>2620</v>
      </c>
      <c r="F6" s="250">
        <v>2695</v>
      </c>
      <c r="G6" s="389">
        <v>1.0289999999999999</v>
      </c>
      <c r="H6" s="26"/>
      <c r="I6" s="563" t="s">
        <v>1107</v>
      </c>
      <c r="J6" s="563"/>
      <c r="K6" s="563"/>
      <c r="L6" s="563"/>
      <c r="M6" s="563"/>
      <c r="N6" s="563"/>
      <c r="O6" s="563"/>
      <c r="Q6" s="40" t="s">
        <v>1108</v>
      </c>
      <c r="R6" s="250">
        <v>34</v>
      </c>
      <c r="S6" s="250">
        <v>67</v>
      </c>
      <c r="T6" s="250">
        <v>66</v>
      </c>
      <c r="U6" s="250">
        <v>70</v>
      </c>
      <c r="V6" s="250">
        <v>36</v>
      </c>
      <c r="W6" s="250">
        <v>22</v>
      </c>
      <c r="X6" s="291"/>
      <c r="Y6" s="40" t="s">
        <v>1108</v>
      </c>
      <c r="Z6" s="250">
        <v>18</v>
      </c>
      <c r="AA6" s="250">
        <v>23</v>
      </c>
      <c r="AB6" s="181"/>
    </row>
    <row r="7" spans="1:28" ht="27.75" customHeight="1" x14ac:dyDescent="0.2">
      <c r="A7" s="40" t="s">
        <v>1109</v>
      </c>
      <c r="B7" s="250">
        <v>729</v>
      </c>
      <c r="C7" s="250">
        <v>305</v>
      </c>
      <c r="D7" s="389">
        <v>0.41799999999999998</v>
      </c>
      <c r="E7" s="250">
        <v>8079</v>
      </c>
      <c r="F7" s="250">
        <v>3927</v>
      </c>
      <c r="G7" s="389">
        <v>0.48599999999999999</v>
      </c>
      <c r="H7" s="26"/>
      <c r="I7" s="564"/>
      <c r="J7" s="564"/>
      <c r="K7" s="564"/>
      <c r="L7" s="564"/>
      <c r="M7" s="564"/>
      <c r="N7" s="564"/>
      <c r="O7" s="564"/>
      <c r="Q7" s="40" t="s">
        <v>1109</v>
      </c>
      <c r="R7" s="250">
        <v>74</v>
      </c>
      <c r="S7" s="250">
        <v>57</v>
      </c>
      <c r="T7" s="250">
        <v>62</v>
      </c>
      <c r="U7" s="250">
        <v>60</v>
      </c>
      <c r="V7" s="250">
        <v>51</v>
      </c>
      <c r="W7" s="250">
        <v>42</v>
      </c>
      <c r="X7" s="291"/>
      <c r="Y7" s="40" t="s">
        <v>1109</v>
      </c>
      <c r="Z7" s="250">
        <v>49</v>
      </c>
      <c r="AA7" s="250">
        <v>41</v>
      </c>
      <c r="AB7" s="181"/>
    </row>
    <row r="8" spans="1:28" ht="21.6" customHeight="1" x14ac:dyDescent="0.2">
      <c r="A8" s="40" t="s">
        <v>90</v>
      </c>
      <c r="B8" s="253">
        <v>1880</v>
      </c>
      <c r="C8" s="253">
        <v>1470</v>
      </c>
      <c r="D8" s="354">
        <v>0.78200000000000003</v>
      </c>
      <c r="E8" s="253">
        <v>12580</v>
      </c>
      <c r="F8" s="253">
        <v>8457</v>
      </c>
      <c r="G8" s="390">
        <v>0.67200000000000004</v>
      </c>
      <c r="H8" s="26"/>
      <c r="Q8" s="563" t="s">
        <v>1110</v>
      </c>
      <c r="R8" s="563"/>
      <c r="S8" s="563"/>
      <c r="T8" s="563"/>
      <c r="U8" s="563"/>
      <c r="V8" s="563"/>
      <c r="W8" s="563"/>
      <c r="X8" s="23"/>
      <c r="Y8" s="563" t="s">
        <v>1111</v>
      </c>
      <c r="Z8" s="563"/>
      <c r="AA8" s="563"/>
      <c r="AB8" s="30"/>
    </row>
    <row r="9" spans="1:28" ht="32.1" customHeight="1" x14ac:dyDescent="0.2">
      <c r="A9" s="563" t="s">
        <v>1112</v>
      </c>
      <c r="B9" s="575"/>
      <c r="C9" s="575"/>
      <c r="D9" s="575"/>
      <c r="E9" s="575"/>
      <c r="F9" s="575"/>
      <c r="G9" s="575"/>
      <c r="Q9" s="564"/>
      <c r="R9" s="564"/>
      <c r="S9" s="564"/>
      <c r="T9" s="564"/>
      <c r="U9" s="564"/>
      <c r="V9" s="564"/>
      <c r="W9" s="564"/>
      <c r="X9" s="23"/>
      <c r="Y9" s="564"/>
      <c r="Z9" s="564"/>
      <c r="AA9" s="564"/>
      <c r="AB9" s="30"/>
    </row>
    <row r="10" spans="1:28" ht="21.6" customHeight="1" x14ac:dyDescent="0.2">
      <c r="A10" s="34"/>
      <c r="B10" s="34"/>
      <c r="C10" s="23"/>
      <c r="D10" s="23"/>
      <c r="E10" s="23"/>
      <c r="Q10" s="30"/>
      <c r="R10" s="30"/>
      <c r="S10" s="30"/>
      <c r="T10" s="30"/>
      <c r="U10" s="30"/>
      <c r="V10" s="30"/>
      <c r="W10" s="30"/>
      <c r="X10" s="23"/>
      <c r="Y10" s="30"/>
      <c r="Z10" s="30"/>
      <c r="AA10" s="30"/>
      <c r="AB10" s="30"/>
    </row>
    <row r="11" spans="1:28" ht="21.6" customHeight="1" x14ac:dyDescent="0.2">
      <c r="A11" s="34"/>
      <c r="B11" s="34"/>
      <c r="C11" s="23"/>
      <c r="D11" s="23"/>
      <c r="E11" s="23"/>
      <c r="Y11" s="30"/>
      <c r="Z11" s="30"/>
      <c r="AA11" s="30"/>
      <c r="AB11" s="30"/>
    </row>
    <row r="12" spans="1:28" ht="21.6" customHeight="1" x14ac:dyDescent="0.2">
      <c r="A12" s="34"/>
      <c r="B12" s="34"/>
      <c r="C12" s="23"/>
      <c r="D12" s="23"/>
      <c r="E12" s="23"/>
      <c r="Y12" s="30"/>
      <c r="Z12" s="30"/>
      <c r="AA12" s="30"/>
      <c r="AB12" s="30"/>
    </row>
    <row r="13" spans="1:28" ht="21.6" customHeight="1" x14ac:dyDescent="0.2">
      <c r="A13" s="34"/>
      <c r="B13" s="34"/>
      <c r="C13" s="23"/>
      <c r="D13" s="23"/>
      <c r="E13" s="23"/>
    </row>
    <row r="14" spans="1:28" ht="21.6" customHeight="1" x14ac:dyDescent="0.2">
      <c r="A14" s="34"/>
      <c r="B14" s="34"/>
      <c r="C14" s="23"/>
      <c r="D14" s="23"/>
      <c r="E14" s="23"/>
    </row>
    <row r="15" spans="1:28" ht="21.6" customHeight="1" x14ac:dyDescent="0.2">
      <c r="A15" s="34"/>
      <c r="B15" s="34"/>
      <c r="C15" s="23"/>
      <c r="D15" s="23"/>
      <c r="E15" s="23"/>
    </row>
    <row r="16" spans="1:28" ht="21.6" customHeight="1" x14ac:dyDescent="0.2">
      <c r="A16" s="23"/>
      <c r="B16" s="23"/>
      <c r="C16" s="23"/>
      <c r="D16" s="23"/>
      <c r="E16" s="23"/>
    </row>
    <row r="17" spans="1:8" ht="21.6" customHeight="1" x14ac:dyDescent="0.2">
      <c r="A17" s="23"/>
      <c r="B17" s="23"/>
      <c r="C17" s="23"/>
      <c r="D17" s="23"/>
      <c r="E17" s="23"/>
    </row>
    <row r="18" spans="1:8" ht="21.6" customHeight="1" x14ac:dyDescent="0.2">
      <c r="A18" s="23"/>
      <c r="B18" s="23"/>
      <c r="C18" s="23"/>
      <c r="D18" s="23"/>
      <c r="E18" s="23"/>
    </row>
    <row r="19" spans="1:8" ht="26.65" customHeight="1" x14ac:dyDescent="0.2">
      <c r="A19" s="23"/>
      <c r="B19" s="23"/>
      <c r="C19" s="23"/>
      <c r="D19" s="23"/>
      <c r="E19" s="23"/>
    </row>
    <row r="20" spans="1:8" ht="26.65" customHeight="1" x14ac:dyDescent="0.2">
      <c r="A20" s="23"/>
      <c r="B20" s="23"/>
      <c r="C20" s="23"/>
      <c r="D20" s="23"/>
      <c r="E20" s="23"/>
    </row>
    <row r="21" spans="1:8" ht="45.75" customHeight="1" x14ac:dyDescent="0.2">
      <c r="A21" s="23"/>
      <c r="B21" s="23"/>
      <c r="C21" s="23"/>
      <c r="D21" s="23"/>
      <c r="E21" s="23"/>
    </row>
    <row r="22" spans="1:8" ht="66.599999999999994" customHeight="1" x14ac:dyDescent="0.2">
      <c r="A22" s="23"/>
      <c r="B22" s="23"/>
      <c r="C22" s="23"/>
      <c r="D22" s="23"/>
      <c r="E22" s="23"/>
      <c r="F22" s="23"/>
      <c r="G22" s="23"/>
      <c r="H22" s="23"/>
    </row>
    <row r="23" spans="1:8" ht="69.2" customHeight="1" x14ac:dyDescent="0.2">
      <c r="A23" s="7"/>
      <c r="B23" s="7"/>
      <c r="C23" s="7"/>
      <c r="D23" s="7"/>
      <c r="E23" s="7"/>
      <c r="F23" s="7"/>
      <c r="G23" s="34"/>
      <c r="H23" s="34"/>
    </row>
    <row r="24" spans="1:8" ht="21.6" customHeight="1" x14ac:dyDescent="0.2">
      <c r="A24" s="7"/>
      <c r="B24" s="7"/>
      <c r="C24" s="7"/>
      <c r="D24" s="7"/>
      <c r="E24" s="7"/>
      <c r="F24" s="7"/>
      <c r="G24" s="34"/>
      <c r="H24" s="34"/>
    </row>
    <row r="25" spans="1:8" ht="21.6" customHeight="1" x14ac:dyDescent="0.2">
      <c r="A25" s="7"/>
      <c r="B25" s="7"/>
      <c r="C25" s="7"/>
      <c r="D25" s="7"/>
      <c r="E25" s="7"/>
      <c r="F25" s="7"/>
      <c r="G25" s="34"/>
      <c r="H25" s="34"/>
    </row>
    <row r="26" spans="1:8" ht="21.6" customHeight="1" x14ac:dyDescent="0.2">
      <c r="A26" s="7"/>
      <c r="B26" s="7"/>
      <c r="C26" s="7"/>
      <c r="D26" s="7"/>
      <c r="E26" s="7"/>
      <c r="F26" s="7"/>
      <c r="G26" s="34"/>
      <c r="H26" s="34"/>
    </row>
    <row r="27" spans="1:8" ht="21.6" customHeight="1" x14ac:dyDescent="0.2">
      <c r="A27" s="7"/>
      <c r="B27" s="7"/>
      <c r="D27" s="7"/>
      <c r="E27" s="7"/>
      <c r="F27" s="7"/>
      <c r="G27" s="34"/>
      <c r="H27" s="34"/>
    </row>
    <row r="28" spans="1:8" ht="21.6" customHeight="1" x14ac:dyDescent="0.2">
      <c r="A28" s="7"/>
      <c r="B28" s="7"/>
      <c r="C28" s="7"/>
      <c r="D28" s="7"/>
      <c r="E28" s="7"/>
      <c r="F28" s="7"/>
      <c r="G28" s="34"/>
      <c r="H28" s="34"/>
    </row>
    <row r="29" spans="1:8" ht="27.6" customHeight="1" x14ac:dyDescent="0.2">
      <c r="G29" s="23"/>
      <c r="H29" s="23"/>
    </row>
    <row r="30" spans="1:8" ht="66.599999999999994" customHeight="1" x14ac:dyDescent="0.2">
      <c r="A30" s="23"/>
      <c r="B30" s="23"/>
      <c r="C30" s="23"/>
      <c r="D30" s="23"/>
      <c r="E30" s="23"/>
      <c r="F30" s="23"/>
      <c r="G30" s="23"/>
      <c r="H30" s="23"/>
    </row>
    <row r="31" spans="1:8" ht="50.1" customHeight="1" x14ac:dyDescent="0.2">
      <c r="A31" s="7"/>
      <c r="B31" s="7"/>
      <c r="C31" s="7"/>
      <c r="D31" s="7"/>
      <c r="E31" s="7"/>
      <c r="F31" s="23"/>
      <c r="G31" s="23"/>
      <c r="H31" s="23"/>
    </row>
    <row r="32" spans="1:8" ht="21.6" customHeight="1" x14ac:dyDescent="0.2">
      <c r="A32" s="7"/>
      <c r="B32" s="7"/>
      <c r="C32" s="7"/>
      <c r="D32" s="7"/>
      <c r="E32" s="7"/>
      <c r="F32" s="23"/>
      <c r="G32" s="23"/>
      <c r="H32" s="23"/>
    </row>
    <row r="33" spans="1:8" ht="21.6" customHeight="1" x14ac:dyDescent="0.2">
      <c r="A33" s="7"/>
      <c r="B33" s="7"/>
      <c r="C33" s="7"/>
      <c r="D33" s="7"/>
      <c r="E33" s="7"/>
      <c r="F33" s="23"/>
      <c r="G33" s="23"/>
      <c r="H33" s="23"/>
    </row>
    <row r="34" spans="1:8" ht="38.25" customHeight="1" x14ac:dyDescent="0.2">
      <c r="F34" s="23"/>
      <c r="G34" s="23"/>
      <c r="H34" s="23"/>
    </row>
    <row r="35" spans="1:8" ht="14.1" customHeight="1" x14ac:dyDescent="0.2">
      <c r="F35" s="23"/>
      <c r="G35" s="23"/>
      <c r="H35" s="23"/>
    </row>
    <row r="36" spans="1:8" ht="66.599999999999994" customHeight="1" x14ac:dyDescent="0.2">
      <c r="A36" s="23"/>
      <c r="B36" s="23"/>
      <c r="C36" s="23"/>
      <c r="D36" s="23"/>
      <c r="E36" s="23"/>
      <c r="F36" s="23"/>
      <c r="G36" s="23"/>
      <c r="H36" s="23"/>
    </row>
    <row r="37" spans="1:8" ht="48.2" customHeight="1" x14ac:dyDescent="0.2">
      <c r="A37" s="7"/>
      <c r="B37" s="7"/>
      <c r="C37" s="7"/>
      <c r="D37" s="7"/>
      <c r="E37" s="7"/>
      <c r="F37" s="34"/>
      <c r="G37" s="23"/>
      <c r="H37" s="23"/>
    </row>
    <row r="38" spans="1:8" ht="21.6" customHeight="1" x14ac:dyDescent="0.2">
      <c r="A38" s="7"/>
      <c r="B38" s="7"/>
      <c r="C38" s="7"/>
      <c r="D38" s="7"/>
      <c r="E38" s="7"/>
      <c r="F38" s="34"/>
      <c r="G38" s="23"/>
      <c r="H38" s="23"/>
    </row>
    <row r="39" spans="1:8" ht="21.6" customHeight="1" x14ac:dyDescent="0.2">
      <c r="A39" s="7"/>
      <c r="B39" s="7"/>
      <c r="C39" s="7"/>
      <c r="D39" s="7"/>
      <c r="E39" s="7"/>
      <c r="F39" s="34"/>
      <c r="G39" s="23"/>
      <c r="H39" s="23"/>
    </row>
    <row r="40" spans="1:8" ht="21.6" customHeight="1" x14ac:dyDescent="0.2">
      <c r="A40" s="7"/>
      <c r="B40" s="7"/>
      <c r="C40" s="7"/>
      <c r="D40" s="7"/>
      <c r="E40" s="7"/>
      <c r="F40" s="34"/>
      <c r="G40" s="23"/>
      <c r="H40" s="23"/>
    </row>
    <row r="41" spans="1:8" ht="21.6" customHeight="1" x14ac:dyDescent="0.2">
      <c r="A41" s="7"/>
      <c r="B41" s="7"/>
      <c r="C41" s="7"/>
      <c r="D41" s="7"/>
      <c r="E41" s="7"/>
      <c r="F41" s="34"/>
      <c r="G41" s="23"/>
      <c r="H41" s="23"/>
    </row>
    <row r="42" spans="1:8" ht="14.1" customHeight="1" x14ac:dyDescent="0.2">
      <c r="F42" s="23"/>
      <c r="G42" s="23"/>
      <c r="H42" s="23"/>
    </row>
    <row r="43" spans="1:8" ht="14.1" customHeight="1" x14ac:dyDescent="0.2">
      <c r="F43" s="23"/>
      <c r="G43" s="23"/>
      <c r="H43" s="23"/>
    </row>
    <row r="44" spans="1:8" ht="14.1" customHeight="1" x14ac:dyDescent="0.2">
      <c r="F44" s="23"/>
      <c r="G44" s="23"/>
      <c r="H44" s="23"/>
    </row>
    <row r="45" spans="1:8" ht="66.599999999999994" customHeight="1" x14ac:dyDescent="0.2">
      <c r="A45" s="23"/>
      <c r="B45" s="23"/>
      <c r="C45" s="23"/>
      <c r="D45" s="23"/>
      <c r="E45" s="23"/>
      <c r="F45" s="23"/>
      <c r="G45" s="23"/>
      <c r="H45" s="23"/>
    </row>
    <row r="46" spans="1:8" ht="46.7" customHeight="1" x14ac:dyDescent="0.2">
      <c r="A46" s="7"/>
      <c r="B46" s="7"/>
      <c r="C46" s="23"/>
      <c r="D46" s="23"/>
      <c r="E46" s="23"/>
      <c r="F46" s="23"/>
      <c r="G46" s="23"/>
      <c r="H46" s="23"/>
    </row>
    <row r="47" spans="1:8" ht="21.6" customHeight="1" x14ac:dyDescent="0.2">
      <c r="A47" s="7"/>
      <c r="B47" s="7"/>
      <c r="C47" s="23"/>
      <c r="D47" s="23"/>
      <c r="E47" s="23"/>
      <c r="F47" s="23"/>
      <c r="G47" s="23"/>
      <c r="H47" s="23"/>
    </row>
    <row r="48" spans="1:8" ht="21.6" customHeight="1" x14ac:dyDescent="0.2">
      <c r="A48" s="7"/>
      <c r="B48" s="7"/>
      <c r="C48" s="23"/>
      <c r="D48" s="23"/>
      <c r="E48" s="23"/>
      <c r="F48" s="23"/>
      <c r="G48" s="23"/>
      <c r="H48" s="23"/>
    </row>
    <row r="49" spans="1:8" ht="21.6" customHeight="1" x14ac:dyDescent="0.2">
      <c r="A49" s="7"/>
      <c r="B49" s="7"/>
      <c r="C49" s="23"/>
      <c r="D49" s="23"/>
      <c r="E49" s="23"/>
      <c r="F49" s="23"/>
      <c r="G49" s="23"/>
      <c r="H49" s="23"/>
    </row>
    <row r="50" spans="1:8" ht="21.6" customHeight="1" x14ac:dyDescent="0.2">
      <c r="A50" s="7"/>
      <c r="B50" s="7"/>
      <c r="C50" s="23"/>
      <c r="D50" s="23"/>
      <c r="E50" s="23"/>
      <c r="F50" s="23"/>
      <c r="G50" s="23"/>
      <c r="H50" s="23"/>
    </row>
    <row r="51" spans="1:8" ht="14.1" customHeight="1" x14ac:dyDescent="0.2">
      <c r="C51" s="23"/>
      <c r="D51" s="23"/>
      <c r="E51" s="23"/>
      <c r="F51" s="23"/>
      <c r="G51" s="23"/>
      <c r="H51" s="23"/>
    </row>
    <row r="52" spans="1:8" ht="14.1" customHeight="1" x14ac:dyDescent="0.2">
      <c r="C52" s="23"/>
      <c r="D52" s="23"/>
      <c r="E52" s="23"/>
      <c r="F52" s="23"/>
      <c r="G52" s="23"/>
      <c r="H52" s="23"/>
    </row>
    <row r="53" spans="1:8" ht="14.1" customHeight="1" x14ac:dyDescent="0.2">
      <c r="C53" s="23"/>
      <c r="D53" s="23"/>
      <c r="E53" s="23"/>
      <c r="F53" s="23"/>
      <c r="G53" s="23"/>
      <c r="H53" s="23"/>
    </row>
    <row r="54" spans="1:8" ht="14.1" customHeight="1" x14ac:dyDescent="0.2">
      <c r="C54" s="23"/>
      <c r="D54" s="23"/>
      <c r="E54" s="23"/>
      <c r="F54" s="23"/>
      <c r="G54" s="23"/>
      <c r="H54" s="23"/>
    </row>
    <row r="55" spans="1:8" ht="14.1" customHeight="1" x14ac:dyDescent="0.2">
      <c r="C55" s="23"/>
      <c r="D55" s="23"/>
      <c r="E55" s="23"/>
      <c r="F55" s="23"/>
      <c r="G55" s="23"/>
      <c r="H55" s="23"/>
    </row>
  </sheetData>
  <sheetProtection algorithmName="SHA-512" hashValue="CWVqHPWSPhiEcPLv+hx62RCY7E4hUZ/BQbL0Xo/j7M3LoLB9621P/h+dkP+hZMT6YrwLfXT1/3tWqYMjY8Zqpg==" saltValue="jVy0Lo9jNny/XQpf/+BkQA==" spinCount="100000" sheet="1" objects="1" scenarios="1"/>
  <mergeCells count="5">
    <mergeCell ref="A1:D1"/>
    <mergeCell ref="I6:O7"/>
    <mergeCell ref="A9:G9"/>
    <mergeCell ref="Q8:W9"/>
    <mergeCell ref="Y8:AA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38"/>
  <sheetViews>
    <sheetView showGridLines="0" showRuler="0" workbookViewId="0">
      <selection activeCell="E14" sqref="E14"/>
    </sheetView>
  </sheetViews>
  <sheetFormatPr defaultColWidth="13.140625" defaultRowHeight="12.75" x14ac:dyDescent="0.2"/>
  <cols>
    <col min="1" max="1" width="1.7109375" customWidth="1"/>
    <col min="2" max="2" width="24.28515625" customWidth="1"/>
    <col min="3" max="3" width="30.5703125" customWidth="1"/>
    <col min="4" max="4" width="0" hidden="1"/>
  </cols>
  <sheetData>
    <row r="1" spans="1:8" s="438" customFormat="1" ht="17.45" customHeight="1" x14ac:dyDescent="0.2">
      <c r="A1" s="744" t="s">
        <v>1237</v>
      </c>
      <c r="B1" s="734"/>
      <c r="C1" s="734"/>
      <c r="D1" s="734"/>
      <c r="E1" s="436"/>
      <c r="F1" s="436"/>
      <c r="G1" s="436"/>
      <c r="H1" s="436"/>
    </row>
    <row r="2" spans="1:8" s="438" customFormat="1" ht="17.45" customHeight="1" x14ac:dyDescent="0.2">
      <c r="A2" s="450"/>
      <c r="B2" s="450"/>
      <c r="C2" s="450"/>
      <c r="D2" s="450"/>
      <c r="E2" s="436"/>
      <c r="F2" s="436"/>
      <c r="G2" s="436"/>
      <c r="H2" s="436"/>
    </row>
    <row r="3" spans="1:8" ht="69.95" customHeight="1" x14ac:dyDescent="0.2">
      <c r="B3" s="458" t="s">
        <v>1238</v>
      </c>
      <c r="C3" s="4" t="s">
        <v>142</v>
      </c>
      <c r="D3" s="4" t="s">
        <v>1113</v>
      </c>
      <c r="E3" s="4" t="s">
        <v>1114</v>
      </c>
      <c r="F3" s="26"/>
    </row>
    <row r="4" spans="1:8" ht="15" customHeight="1" x14ac:dyDescent="0.2">
      <c r="B4" s="623" t="s">
        <v>154</v>
      </c>
      <c r="C4" s="212" t="s">
        <v>72</v>
      </c>
      <c r="D4" s="314"/>
      <c r="E4" s="237">
        <f>SUM(E5:E6)</f>
        <v>851</v>
      </c>
      <c r="F4" s="26"/>
    </row>
    <row r="5" spans="1:8" ht="15" customHeight="1" x14ac:dyDescent="0.2">
      <c r="B5" s="623"/>
      <c r="C5" s="214" t="s">
        <v>41</v>
      </c>
      <c r="D5" s="240">
        <v>478</v>
      </c>
      <c r="E5" s="240">
        <v>480</v>
      </c>
      <c r="F5" s="26"/>
    </row>
    <row r="6" spans="1:8" ht="15" customHeight="1" x14ac:dyDescent="0.2">
      <c r="B6" s="623"/>
      <c r="C6" s="214" t="s">
        <v>158</v>
      </c>
      <c r="D6" s="240">
        <v>366</v>
      </c>
      <c r="E6" s="240">
        <v>371</v>
      </c>
      <c r="F6" s="26"/>
    </row>
    <row r="7" spans="1:8" ht="15" customHeight="1" x14ac:dyDescent="0.2">
      <c r="B7" s="623" t="s">
        <v>160</v>
      </c>
      <c r="C7" s="212" t="s">
        <v>79</v>
      </c>
      <c r="D7" s="314"/>
      <c r="E7" s="237">
        <f>E8</f>
        <v>272</v>
      </c>
      <c r="F7" s="26"/>
    </row>
    <row r="8" spans="1:8" ht="15" customHeight="1" x14ac:dyDescent="0.2">
      <c r="B8" s="623"/>
      <c r="C8" s="214" t="s">
        <v>19</v>
      </c>
      <c r="D8" s="240">
        <v>238</v>
      </c>
      <c r="E8" s="240">
        <v>272</v>
      </c>
      <c r="F8" s="26"/>
    </row>
    <row r="9" spans="1:8" ht="15" customHeight="1" x14ac:dyDescent="0.2">
      <c r="B9" s="623"/>
      <c r="C9" s="212" t="s">
        <v>82</v>
      </c>
      <c r="D9" s="314"/>
      <c r="E9" s="237">
        <f>SUM(E10:E12)</f>
        <v>621</v>
      </c>
      <c r="F9" s="26"/>
    </row>
    <row r="10" spans="1:8" ht="15" customHeight="1" x14ac:dyDescent="0.2">
      <c r="B10" s="623"/>
      <c r="C10" s="214" t="s">
        <v>163</v>
      </c>
      <c r="D10" s="240">
        <v>355</v>
      </c>
      <c r="E10" s="240">
        <v>202</v>
      </c>
      <c r="F10" s="26"/>
    </row>
    <row r="11" spans="1:8" ht="15" customHeight="1" x14ac:dyDescent="0.2">
      <c r="B11" s="623"/>
      <c r="C11" s="214" t="s">
        <v>164</v>
      </c>
      <c r="D11" s="240">
        <v>140</v>
      </c>
      <c r="E11" s="240">
        <v>100</v>
      </c>
      <c r="F11" s="26"/>
    </row>
    <row r="12" spans="1:8" ht="15" customHeight="1" x14ac:dyDescent="0.2">
      <c r="B12" s="623"/>
      <c r="C12" s="214" t="s">
        <v>1115</v>
      </c>
      <c r="D12" s="240">
        <v>323</v>
      </c>
      <c r="E12" s="240">
        <v>319</v>
      </c>
      <c r="F12" s="26"/>
    </row>
    <row r="13" spans="1:8" ht="15" customHeight="1" x14ac:dyDescent="0.2">
      <c r="B13" s="623"/>
      <c r="C13" s="212" t="s">
        <v>86</v>
      </c>
      <c r="D13" s="314"/>
      <c r="E13" s="237">
        <f>E14</f>
        <v>1419</v>
      </c>
      <c r="F13" s="26"/>
    </row>
    <row r="14" spans="1:8" ht="15" customHeight="1" x14ac:dyDescent="0.2">
      <c r="B14" s="623"/>
      <c r="C14" s="214" t="s">
        <v>25</v>
      </c>
      <c r="D14" s="240">
        <f>1547</f>
        <v>1547</v>
      </c>
      <c r="E14" s="240">
        <v>1419</v>
      </c>
      <c r="F14" s="26"/>
    </row>
    <row r="15" spans="1:8" ht="15" customHeight="1" x14ac:dyDescent="0.2">
      <c r="B15" s="623" t="s">
        <v>166</v>
      </c>
      <c r="C15" s="212" t="s">
        <v>89</v>
      </c>
      <c r="D15" s="314"/>
      <c r="E15" s="237">
        <f>E16</f>
        <v>216</v>
      </c>
      <c r="F15" s="26"/>
    </row>
    <row r="16" spans="1:8" ht="15" customHeight="1" x14ac:dyDescent="0.2">
      <c r="B16" s="623"/>
      <c r="C16" s="214" t="s">
        <v>11</v>
      </c>
      <c r="D16" s="240">
        <v>407</v>
      </c>
      <c r="E16" s="240">
        <v>216</v>
      </c>
      <c r="F16" s="26"/>
    </row>
    <row r="17" spans="2:6" ht="15" customHeight="1" x14ac:dyDescent="0.2">
      <c r="B17" s="623"/>
      <c r="C17" s="212" t="s">
        <v>94</v>
      </c>
      <c r="D17" s="314"/>
      <c r="E17" s="237">
        <f>E18</f>
        <v>461</v>
      </c>
      <c r="F17" s="26"/>
    </row>
    <row r="18" spans="2:6" ht="15" customHeight="1" x14ac:dyDescent="0.2">
      <c r="B18" s="623"/>
      <c r="C18" s="214" t="s">
        <v>167</v>
      </c>
      <c r="D18" s="240">
        <v>467</v>
      </c>
      <c r="E18" s="240">
        <v>461</v>
      </c>
      <c r="F18" s="26"/>
    </row>
    <row r="19" spans="2:6" ht="15" customHeight="1" x14ac:dyDescent="0.2">
      <c r="B19" s="623"/>
      <c r="C19" s="212" t="s">
        <v>97</v>
      </c>
      <c r="D19" s="314"/>
      <c r="E19" s="237">
        <f>E20</f>
        <v>340</v>
      </c>
      <c r="F19" s="26"/>
    </row>
    <row r="20" spans="2:6" ht="15" customHeight="1" x14ac:dyDescent="0.2">
      <c r="B20" s="623"/>
      <c r="C20" s="214" t="s">
        <v>20</v>
      </c>
      <c r="D20" s="240">
        <v>409</v>
      </c>
      <c r="E20" s="240">
        <v>340</v>
      </c>
      <c r="F20" s="26"/>
    </row>
    <row r="21" spans="2:6" ht="15" customHeight="1" x14ac:dyDescent="0.2">
      <c r="B21" s="748" t="s">
        <v>168</v>
      </c>
      <c r="C21" s="212" t="s">
        <v>76</v>
      </c>
      <c r="D21" s="314"/>
      <c r="E21" s="237">
        <f>SUM(E22:E23)</f>
        <v>1293</v>
      </c>
      <c r="F21" s="26"/>
    </row>
    <row r="22" spans="2:6" ht="15" customHeight="1" x14ac:dyDescent="0.2">
      <c r="B22" s="623"/>
      <c r="C22" s="214" t="s">
        <v>169</v>
      </c>
      <c r="D22" s="240">
        <f>700+143</f>
        <v>843</v>
      </c>
      <c r="E22" s="240">
        <v>798</v>
      </c>
      <c r="F22" s="26"/>
    </row>
    <row r="23" spans="2:6" ht="15" customHeight="1" x14ac:dyDescent="0.2">
      <c r="B23" s="623"/>
      <c r="C23" s="214" t="s">
        <v>14</v>
      </c>
      <c r="D23" s="240">
        <v>478</v>
      </c>
      <c r="E23" s="240">
        <v>495</v>
      </c>
      <c r="F23" s="26"/>
    </row>
    <row r="24" spans="2:6" ht="15" customHeight="1" x14ac:dyDescent="0.2">
      <c r="B24" s="42" t="s">
        <v>170</v>
      </c>
      <c r="C24" s="36" t="s">
        <v>90</v>
      </c>
      <c r="D24" s="241">
        <f>SUM(D4:D23)</f>
        <v>6051</v>
      </c>
      <c r="E24" s="428">
        <f>SUM(E4,E7,E9,E13,E15,E17,E19,E21)</f>
        <v>5473</v>
      </c>
      <c r="F24" s="26"/>
    </row>
    <row r="25" spans="2:6" ht="15" customHeight="1" x14ac:dyDescent="0.2">
      <c r="B25" s="745" t="s">
        <v>1239</v>
      </c>
      <c r="C25" s="745"/>
      <c r="D25" s="745"/>
      <c r="E25" s="745"/>
    </row>
    <row r="26" spans="2:6" ht="15" customHeight="1" x14ac:dyDescent="0.2">
      <c r="B26" s="746"/>
      <c r="C26" s="747"/>
      <c r="D26" s="747"/>
      <c r="E26" s="747"/>
    </row>
    <row r="27" spans="2:6" ht="15" customHeight="1" x14ac:dyDescent="0.2">
      <c r="B27" s="747"/>
      <c r="C27" s="747"/>
      <c r="D27" s="747"/>
      <c r="E27" s="747"/>
    </row>
    <row r="28" spans="2:6" ht="15" customHeight="1" x14ac:dyDescent="0.2"/>
    <row r="29" spans="2:6" ht="15" customHeight="1" x14ac:dyDescent="0.2"/>
    <row r="30" spans="2:6" ht="15" customHeight="1" x14ac:dyDescent="0.2"/>
    <row r="31" spans="2:6" ht="15" customHeight="1" x14ac:dyDescent="0.2"/>
    <row r="32" spans="2:6" ht="15" customHeight="1" x14ac:dyDescent="0.2">
      <c r="B32" s="122"/>
      <c r="C32" s="416"/>
      <c r="D32" s="416"/>
      <c r="E32" s="416"/>
    </row>
    <row r="33" spans="2:5" ht="15" customHeight="1" x14ac:dyDescent="0.2">
      <c r="B33" s="416"/>
      <c r="C33" s="416"/>
      <c r="D33" s="416"/>
      <c r="E33" s="416"/>
    </row>
    <row r="34" spans="2:5" ht="15" customHeight="1" x14ac:dyDescent="0.2"/>
    <row r="35" spans="2:5" ht="15" customHeight="1" x14ac:dyDescent="0.2"/>
    <row r="36" spans="2:5" ht="15" customHeight="1" x14ac:dyDescent="0.2"/>
    <row r="37" spans="2:5" ht="15" customHeight="1" x14ac:dyDescent="0.2"/>
    <row r="38" spans="2:5" ht="15" customHeight="1" x14ac:dyDescent="0.2"/>
  </sheetData>
  <sheetProtection algorithmName="SHA-512" hashValue="LU7nXyQsE9677PHUsk7pJDY9/Q7UCwLDl+mhqraduZFpuBqB/fQMSyjn900muofw3qDX/AhaZQF1U7bBUwBhvg==" saltValue="WV1xIqKtUj0PqDp90h2BMw==" spinCount="100000" sheet="1" objects="1" scenarios="1"/>
  <mergeCells count="7">
    <mergeCell ref="A1:D1"/>
    <mergeCell ref="B25:E25"/>
    <mergeCell ref="B26:E27"/>
    <mergeCell ref="B4:B6"/>
    <mergeCell ref="B7:B14"/>
    <mergeCell ref="B15:B20"/>
    <mergeCell ref="B21:B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5"/>
  <sheetViews>
    <sheetView showGridLines="0" showRuler="0" workbookViewId="0">
      <selection activeCell="B4" sqref="B4"/>
    </sheetView>
  </sheetViews>
  <sheetFormatPr defaultColWidth="13.140625" defaultRowHeight="12.75" x14ac:dyDescent="0.2"/>
  <cols>
    <col min="1" max="1" width="33.42578125" customWidth="1"/>
    <col min="2" max="2" width="20.85546875" customWidth="1"/>
    <col min="3" max="12" width="14.42578125" customWidth="1"/>
    <col min="13" max="13" width="6.7109375" customWidth="1"/>
    <col min="14" max="14" width="40.5703125" customWidth="1"/>
    <col min="15" max="15" width="19.85546875" customWidth="1"/>
    <col min="16" max="16" width="14.42578125" hidden="1" customWidth="1"/>
    <col min="17" max="23" width="14.42578125" customWidth="1"/>
  </cols>
  <sheetData>
    <row r="1" spans="1:23" ht="19.149999999999999" customHeight="1" x14ac:dyDescent="0.25">
      <c r="A1" s="621" t="s">
        <v>141</v>
      </c>
      <c r="B1" s="621"/>
      <c r="C1" s="621"/>
      <c r="D1" s="621"/>
      <c r="E1" s="621"/>
      <c r="F1" s="621"/>
      <c r="G1" s="23"/>
      <c r="H1" s="23"/>
      <c r="I1" s="23"/>
      <c r="J1" s="23"/>
      <c r="K1" s="23"/>
      <c r="L1" s="23"/>
      <c r="M1" s="23"/>
      <c r="N1" s="23"/>
      <c r="O1" s="23"/>
      <c r="P1" s="23"/>
      <c r="Q1" s="23"/>
      <c r="R1" s="23"/>
      <c r="S1" s="23"/>
      <c r="T1" s="23"/>
      <c r="U1" s="23"/>
      <c r="V1" s="23"/>
      <c r="W1" s="23"/>
    </row>
    <row r="2" spans="1:23" x14ac:dyDescent="0.2">
      <c r="A2" s="2"/>
      <c r="B2" s="24"/>
      <c r="C2" s="24"/>
      <c r="D2" s="24"/>
      <c r="E2" s="24"/>
      <c r="F2" s="24"/>
      <c r="G2" s="24"/>
      <c r="H2" s="24"/>
      <c r="I2" s="24"/>
      <c r="J2" s="24"/>
      <c r="K2" s="24"/>
      <c r="L2" s="24"/>
      <c r="M2" s="23"/>
      <c r="N2" s="24"/>
      <c r="O2" s="24"/>
      <c r="P2" s="24"/>
      <c r="Q2" s="24"/>
      <c r="R2" s="24"/>
      <c r="S2" s="24"/>
      <c r="T2" s="24"/>
      <c r="U2" s="24"/>
      <c r="V2" s="23"/>
      <c r="W2" s="23"/>
    </row>
    <row r="3" spans="1:23" ht="65.099999999999994" customHeight="1" x14ac:dyDescent="0.25">
      <c r="A3" s="462" t="s">
        <v>1241</v>
      </c>
      <c r="B3" s="4" t="s">
        <v>142</v>
      </c>
      <c r="C3" s="5" t="s">
        <v>143</v>
      </c>
      <c r="D3" s="5" t="s">
        <v>144</v>
      </c>
      <c r="E3" s="5" t="s">
        <v>145</v>
      </c>
      <c r="F3" s="5" t="s">
        <v>146</v>
      </c>
      <c r="G3" s="5" t="s">
        <v>147</v>
      </c>
      <c r="H3" s="5" t="s">
        <v>148</v>
      </c>
      <c r="I3" s="5" t="s">
        <v>149</v>
      </c>
      <c r="J3" s="5" t="s">
        <v>150</v>
      </c>
      <c r="K3" s="5" t="s">
        <v>151</v>
      </c>
      <c r="L3" s="5" t="s">
        <v>152</v>
      </c>
      <c r="M3" s="104"/>
      <c r="N3" s="461" t="s">
        <v>1149</v>
      </c>
      <c r="O3" s="4" t="s">
        <v>153</v>
      </c>
      <c r="P3" s="37">
        <v>2015</v>
      </c>
      <c r="Q3" s="37">
        <v>2016</v>
      </c>
      <c r="R3" s="37">
        <v>2017</v>
      </c>
      <c r="S3" s="37">
        <v>2018</v>
      </c>
      <c r="T3" s="37">
        <v>2019</v>
      </c>
      <c r="U3" s="37">
        <v>2020</v>
      </c>
      <c r="V3" s="105"/>
      <c r="W3" s="106"/>
    </row>
    <row r="4" spans="1:23" ht="21.6" customHeight="1" x14ac:dyDescent="0.2">
      <c r="A4" s="622" t="s">
        <v>154</v>
      </c>
      <c r="B4" s="92" t="s">
        <v>72</v>
      </c>
      <c r="C4" s="93">
        <f t="shared" ref="C4:J4" si="0">SUM(C5:C6)</f>
        <v>30.309799999999999</v>
      </c>
      <c r="D4" s="93">
        <f t="shared" si="0"/>
        <v>155.3038</v>
      </c>
      <c r="E4" s="93">
        <f t="shared" si="0"/>
        <v>26.508400000000002</v>
      </c>
      <c r="F4" s="93">
        <f t="shared" si="0"/>
        <v>556.69710000000009</v>
      </c>
      <c r="G4" s="93">
        <f t="shared" si="0"/>
        <v>1.5E-3</v>
      </c>
      <c r="H4" s="93">
        <f t="shared" si="0"/>
        <v>8.0000000000000004E-4</v>
      </c>
      <c r="I4" s="93">
        <f t="shared" si="0"/>
        <v>1.26681</v>
      </c>
      <c r="J4" s="93">
        <f t="shared" si="0"/>
        <v>0.183</v>
      </c>
      <c r="K4" s="94" t="s">
        <v>93</v>
      </c>
      <c r="L4" s="93">
        <f>SUM(L5:L6)</f>
        <v>0.04</v>
      </c>
      <c r="M4" s="11"/>
      <c r="N4" s="46" t="s">
        <v>155</v>
      </c>
      <c r="O4" s="46" t="s">
        <v>156</v>
      </c>
      <c r="P4" s="95">
        <v>34</v>
      </c>
      <c r="Q4" s="95">
        <v>0.1</v>
      </c>
      <c r="R4" s="95">
        <v>1.5</v>
      </c>
      <c r="S4" s="99">
        <v>1.6</v>
      </c>
      <c r="T4" s="95">
        <v>2.2000000000000002</v>
      </c>
      <c r="U4" s="96">
        <v>876.34276171399995</v>
      </c>
      <c r="V4" s="105"/>
      <c r="W4" s="106"/>
    </row>
    <row r="5" spans="1:23" ht="21.6" customHeight="1" x14ac:dyDescent="0.2">
      <c r="A5" s="623"/>
      <c r="B5" s="97" t="s">
        <v>41</v>
      </c>
      <c r="C5" s="98">
        <v>10.1098</v>
      </c>
      <c r="D5" s="98">
        <v>50.133800000000001</v>
      </c>
      <c r="E5" s="98">
        <v>15.9984</v>
      </c>
      <c r="F5" s="98">
        <v>245.22710000000001</v>
      </c>
      <c r="G5" s="98">
        <v>1.5E-3</v>
      </c>
      <c r="H5" s="98">
        <v>8.0000000000000004E-4</v>
      </c>
      <c r="I5" s="98">
        <v>6.6809999999999994E-2</v>
      </c>
      <c r="J5" s="98">
        <v>3.0000000000000001E-3</v>
      </c>
      <c r="K5" s="48" t="s">
        <v>93</v>
      </c>
      <c r="L5" s="98">
        <v>0</v>
      </c>
      <c r="M5" s="11"/>
      <c r="N5" s="46" t="s">
        <v>157</v>
      </c>
      <c r="O5" s="46" t="s">
        <v>156</v>
      </c>
      <c r="P5" s="95">
        <v>7.1</v>
      </c>
      <c r="Q5" s="95">
        <v>5.5</v>
      </c>
      <c r="R5" s="463">
        <v>6.9</v>
      </c>
      <c r="S5" s="465">
        <v>6.2</v>
      </c>
      <c r="T5" s="464">
        <v>13.1</v>
      </c>
      <c r="U5" s="96">
        <v>10606.98553616</v>
      </c>
      <c r="V5" s="105"/>
      <c r="W5" s="106"/>
    </row>
    <row r="6" spans="1:23" ht="21.6" customHeight="1" x14ac:dyDescent="0.2">
      <c r="A6" s="623"/>
      <c r="B6" s="97" t="s">
        <v>158</v>
      </c>
      <c r="C6" s="98">
        <v>20.2</v>
      </c>
      <c r="D6" s="98">
        <v>105.17</v>
      </c>
      <c r="E6" s="98">
        <v>10.51</v>
      </c>
      <c r="F6" s="98">
        <v>311.47000000000003</v>
      </c>
      <c r="G6" s="98">
        <v>0</v>
      </c>
      <c r="H6" s="98">
        <v>0</v>
      </c>
      <c r="I6" s="98">
        <v>1.2</v>
      </c>
      <c r="J6" s="98">
        <v>0.18</v>
      </c>
      <c r="K6" s="48" t="s">
        <v>93</v>
      </c>
      <c r="L6" s="98">
        <v>0.04</v>
      </c>
      <c r="M6" s="11"/>
      <c r="N6" s="46" t="s">
        <v>159</v>
      </c>
      <c r="O6" s="46" t="s">
        <v>156</v>
      </c>
      <c r="P6" s="95">
        <v>19.8</v>
      </c>
      <c r="Q6" s="95">
        <v>17.3</v>
      </c>
      <c r="R6" s="463">
        <v>16.7</v>
      </c>
      <c r="S6" s="465">
        <v>16.600000000000001</v>
      </c>
      <c r="T6" s="464">
        <v>22.7</v>
      </c>
      <c r="U6" s="96">
        <v>17963.50657722</v>
      </c>
      <c r="V6" s="105"/>
      <c r="W6" s="106"/>
    </row>
    <row r="7" spans="1:23" ht="21.6" customHeight="1" x14ac:dyDescent="0.2">
      <c r="A7" s="623" t="s">
        <v>160</v>
      </c>
      <c r="B7" s="92" t="s">
        <v>79</v>
      </c>
      <c r="C7" s="93">
        <f t="shared" ref="C7:L7" si="1">C8</f>
        <v>5.4431084399999996</v>
      </c>
      <c r="D7" s="93">
        <f t="shared" si="1"/>
        <v>860.91831825999998</v>
      </c>
      <c r="E7" s="93">
        <f t="shared" si="1"/>
        <v>442.70615312000001</v>
      </c>
      <c r="F7" s="93">
        <f t="shared" si="1"/>
        <v>545.21802874000002</v>
      </c>
      <c r="G7" s="94" t="str">
        <f t="shared" si="1"/>
        <v>De minimis</v>
      </c>
      <c r="H7" s="94" t="str">
        <f t="shared" si="1"/>
        <v>N/R</v>
      </c>
      <c r="I7" s="94" t="str">
        <f t="shared" si="1"/>
        <v>N/R</v>
      </c>
      <c r="J7" s="94" t="str">
        <f t="shared" si="1"/>
        <v>N/R</v>
      </c>
      <c r="K7" s="94" t="str">
        <f t="shared" si="1"/>
        <v>N/R</v>
      </c>
      <c r="L7" s="93">
        <f t="shared" si="1"/>
        <v>353.80204859999998</v>
      </c>
      <c r="M7" s="11"/>
      <c r="N7" s="46" t="s">
        <v>146</v>
      </c>
      <c r="O7" s="46" t="s">
        <v>156</v>
      </c>
      <c r="P7" s="95">
        <v>2.6</v>
      </c>
      <c r="Q7" s="95">
        <v>3.4</v>
      </c>
      <c r="R7" s="95">
        <v>3</v>
      </c>
      <c r="S7" s="100">
        <v>2.8</v>
      </c>
      <c r="T7" s="95">
        <v>7</v>
      </c>
      <c r="U7" s="96">
        <v>5738.1691083400001</v>
      </c>
      <c r="V7" s="105"/>
      <c r="W7" s="106"/>
    </row>
    <row r="8" spans="1:23" ht="21.6" customHeight="1" x14ac:dyDescent="0.2">
      <c r="A8" s="623"/>
      <c r="B8" s="97" t="s">
        <v>19</v>
      </c>
      <c r="C8" s="98">
        <v>5.4431084399999996</v>
      </c>
      <c r="D8" s="98">
        <v>860.91831825999998</v>
      </c>
      <c r="E8" s="98">
        <v>442.70615312000001</v>
      </c>
      <c r="F8" s="98">
        <v>545.21802874000002</v>
      </c>
      <c r="G8" s="48" t="s">
        <v>161</v>
      </c>
      <c r="H8" s="48" t="s">
        <v>93</v>
      </c>
      <c r="I8" s="48" t="s">
        <v>93</v>
      </c>
      <c r="J8" s="48" t="s">
        <v>93</v>
      </c>
      <c r="K8" s="48" t="s">
        <v>93</v>
      </c>
      <c r="L8" s="98">
        <v>353.80204859999998</v>
      </c>
      <c r="M8" s="11"/>
      <c r="N8" s="46" t="s">
        <v>147</v>
      </c>
      <c r="O8" s="46" t="s">
        <v>162</v>
      </c>
      <c r="P8" s="95">
        <v>2.4</v>
      </c>
      <c r="Q8" s="95">
        <v>0.4</v>
      </c>
      <c r="R8" s="95">
        <v>0.7</v>
      </c>
      <c r="S8" s="95">
        <v>0.6</v>
      </c>
      <c r="T8" s="95">
        <v>0.6</v>
      </c>
      <c r="U8" s="95">
        <v>0.26239588200149999</v>
      </c>
      <c r="V8" s="57"/>
      <c r="W8" s="23"/>
    </row>
    <row r="9" spans="1:23" ht="21.6" customHeight="1" x14ac:dyDescent="0.2">
      <c r="A9" s="623"/>
      <c r="B9" s="92" t="s">
        <v>82</v>
      </c>
      <c r="C9" s="93">
        <f t="shared" ref="C9:L9" si="2">SUM(C10:C12)</f>
        <v>7.9</v>
      </c>
      <c r="D9" s="93">
        <f t="shared" si="2"/>
        <v>1528.7</v>
      </c>
      <c r="E9" s="93">
        <f t="shared" si="2"/>
        <v>395.3</v>
      </c>
      <c r="F9" s="93">
        <f t="shared" si="2"/>
        <v>632.70000000000005</v>
      </c>
      <c r="G9" s="93">
        <f t="shared" si="2"/>
        <v>0.1</v>
      </c>
      <c r="H9" s="93">
        <f t="shared" si="2"/>
        <v>0</v>
      </c>
      <c r="I9" s="93">
        <f t="shared" si="2"/>
        <v>0.2</v>
      </c>
      <c r="J9" s="93">
        <f t="shared" si="2"/>
        <v>0</v>
      </c>
      <c r="K9" s="93">
        <f t="shared" si="2"/>
        <v>0</v>
      </c>
      <c r="L9" s="93">
        <f t="shared" si="2"/>
        <v>7.5</v>
      </c>
      <c r="M9" s="11"/>
      <c r="N9" s="46" t="s">
        <v>148</v>
      </c>
      <c r="O9" s="46" t="s">
        <v>162</v>
      </c>
      <c r="P9" s="95">
        <v>3.9</v>
      </c>
      <c r="Q9" s="95">
        <v>3.4</v>
      </c>
      <c r="R9" s="95">
        <v>3</v>
      </c>
      <c r="S9" s="95">
        <v>2.8</v>
      </c>
      <c r="T9" s="95">
        <v>3.1</v>
      </c>
      <c r="U9" s="95">
        <v>2.4932527406</v>
      </c>
      <c r="V9" s="57"/>
      <c r="W9" s="23"/>
    </row>
    <row r="10" spans="1:23" ht="21.6" customHeight="1" x14ac:dyDescent="0.2">
      <c r="A10" s="623"/>
      <c r="B10" s="97" t="s">
        <v>163</v>
      </c>
      <c r="C10" s="98">
        <v>5.7</v>
      </c>
      <c r="D10" s="98">
        <v>114.8</v>
      </c>
      <c r="E10" s="98">
        <v>151.80000000000001</v>
      </c>
      <c r="F10" s="98">
        <v>120.4</v>
      </c>
      <c r="G10" s="48" t="s">
        <v>93</v>
      </c>
      <c r="H10" s="48" t="s">
        <v>93</v>
      </c>
      <c r="I10" s="48" t="s">
        <v>93</v>
      </c>
      <c r="J10" s="48" t="s">
        <v>93</v>
      </c>
      <c r="K10" s="48" t="s">
        <v>93</v>
      </c>
      <c r="L10" s="98">
        <v>5.2</v>
      </c>
      <c r="M10" s="11"/>
      <c r="N10" s="46" t="s">
        <v>149</v>
      </c>
      <c r="O10" s="46" t="s">
        <v>162</v>
      </c>
      <c r="P10" s="95">
        <v>0.6</v>
      </c>
      <c r="Q10" s="95">
        <v>0.6</v>
      </c>
      <c r="R10" s="95">
        <v>0.6</v>
      </c>
      <c r="S10" s="95">
        <v>0.6</v>
      </c>
      <c r="T10" s="95">
        <v>0.72667973009999998</v>
      </c>
      <c r="U10" s="95">
        <v>4.5239527758999998</v>
      </c>
      <c r="V10" s="57"/>
      <c r="W10" s="23"/>
    </row>
    <row r="11" spans="1:23" ht="21.6" customHeight="1" x14ac:dyDescent="0.2">
      <c r="A11" s="623"/>
      <c r="B11" s="97" t="s">
        <v>164</v>
      </c>
      <c r="C11" s="98">
        <v>1.7</v>
      </c>
      <c r="D11" s="98">
        <v>285.7</v>
      </c>
      <c r="E11" s="98">
        <v>100.2</v>
      </c>
      <c r="F11" s="98">
        <v>203.7</v>
      </c>
      <c r="G11" s="98">
        <v>0</v>
      </c>
      <c r="H11" s="98">
        <v>0</v>
      </c>
      <c r="I11" s="98">
        <v>0.1</v>
      </c>
      <c r="J11" s="98">
        <v>0</v>
      </c>
      <c r="K11" s="98">
        <v>0</v>
      </c>
      <c r="L11" s="98">
        <v>2.2999999999999998</v>
      </c>
      <c r="M11" s="11"/>
      <c r="N11" s="46" t="s">
        <v>150</v>
      </c>
      <c r="O11" s="46" t="s">
        <v>162</v>
      </c>
      <c r="P11" s="95">
        <v>0.1</v>
      </c>
      <c r="Q11" s="95">
        <v>0.1</v>
      </c>
      <c r="R11" s="95">
        <v>0.1</v>
      </c>
      <c r="S11" s="95">
        <v>0.1</v>
      </c>
      <c r="T11" s="95">
        <v>0.1</v>
      </c>
      <c r="U11" s="95">
        <v>0.25100203999999998</v>
      </c>
      <c r="V11" s="57"/>
      <c r="W11" s="23"/>
    </row>
    <row r="12" spans="1:23" ht="21.6" customHeight="1" x14ac:dyDescent="0.2">
      <c r="A12" s="623"/>
      <c r="B12" s="97" t="s">
        <v>29</v>
      </c>
      <c r="C12" s="98">
        <v>0.5</v>
      </c>
      <c r="D12" s="98">
        <v>1128.2</v>
      </c>
      <c r="E12" s="98">
        <v>143.30000000000001</v>
      </c>
      <c r="F12" s="98">
        <v>308.60000000000002</v>
      </c>
      <c r="G12" s="98">
        <v>0.1</v>
      </c>
      <c r="H12" s="98">
        <v>0</v>
      </c>
      <c r="I12" s="98">
        <v>0.1</v>
      </c>
      <c r="J12" s="98">
        <v>0</v>
      </c>
      <c r="K12" s="98">
        <v>0</v>
      </c>
      <c r="L12" s="98">
        <v>0</v>
      </c>
      <c r="M12" s="11"/>
      <c r="N12" s="46" t="s">
        <v>151</v>
      </c>
      <c r="O12" s="46" t="s">
        <v>162</v>
      </c>
      <c r="P12" s="52" t="s">
        <v>93</v>
      </c>
      <c r="Q12" s="52" t="s">
        <v>165</v>
      </c>
      <c r="R12" s="52" t="s">
        <v>165</v>
      </c>
      <c r="S12" s="52" t="s">
        <v>165</v>
      </c>
      <c r="T12" s="52" t="s">
        <v>165</v>
      </c>
      <c r="U12" s="52" t="s">
        <v>165</v>
      </c>
      <c r="V12" s="57"/>
      <c r="W12" s="23"/>
    </row>
    <row r="13" spans="1:23" ht="21.6" customHeight="1" x14ac:dyDescent="0.2">
      <c r="A13" s="623"/>
      <c r="B13" s="92" t="s">
        <v>86</v>
      </c>
      <c r="C13" s="93">
        <f t="shared" ref="C13:L13" si="3">C14</f>
        <v>6</v>
      </c>
      <c r="D13" s="93">
        <f t="shared" si="3"/>
        <v>2504.4</v>
      </c>
      <c r="E13" s="93">
        <f t="shared" si="3"/>
        <v>3473.9</v>
      </c>
      <c r="F13" s="93">
        <f t="shared" si="3"/>
        <v>2059.6</v>
      </c>
      <c r="G13" s="93">
        <f t="shared" si="3"/>
        <v>0</v>
      </c>
      <c r="H13" s="93">
        <f t="shared" si="3"/>
        <v>0</v>
      </c>
      <c r="I13" s="93">
        <f t="shared" si="3"/>
        <v>2.6</v>
      </c>
      <c r="J13" s="93">
        <f t="shared" si="3"/>
        <v>0</v>
      </c>
      <c r="K13" s="93">
        <f t="shared" si="3"/>
        <v>0</v>
      </c>
      <c r="L13" s="93">
        <f t="shared" si="3"/>
        <v>12.1</v>
      </c>
      <c r="M13" s="11"/>
      <c r="N13" s="46" t="s">
        <v>152</v>
      </c>
      <c r="O13" s="46" t="s">
        <v>156</v>
      </c>
      <c r="P13" s="52" t="s">
        <v>93</v>
      </c>
      <c r="Q13" s="95">
        <v>0.5</v>
      </c>
      <c r="R13" s="95">
        <v>0.4</v>
      </c>
      <c r="S13" s="95">
        <v>0.3</v>
      </c>
      <c r="T13" s="95">
        <v>0.7</v>
      </c>
      <c r="U13" s="96">
        <v>665.33174210000004</v>
      </c>
      <c r="V13" s="57"/>
      <c r="W13" s="23"/>
    </row>
    <row r="14" spans="1:23" ht="21.6" customHeight="1" x14ac:dyDescent="0.2">
      <c r="A14" s="623"/>
      <c r="B14" s="97" t="s">
        <v>25</v>
      </c>
      <c r="C14" s="98">
        <v>6</v>
      </c>
      <c r="D14" s="98">
        <v>2504.4</v>
      </c>
      <c r="E14" s="98">
        <v>3473.9</v>
      </c>
      <c r="F14" s="98">
        <v>2059.6</v>
      </c>
      <c r="G14" s="98">
        <v>0</v>
      </c>
      <c r="H14" s="98">
        <v>0</v>
      </c>
      <c r="I14" s="98">
        <v>2.6</v>
      </c>
      <c r="J14" s="98">
        <v>0</v>
      </c>
      <c r="K14" s="98">
        <v>0</v>
      </c>
      <c r="L14" s="98">
        <v>12.1</v>
      </c>
      <c r="M14" s="57"/>
      <c r="N14" s="572" t="s">
        <v>1150</v>
      </c>
      <c r="O14" s="566"/>
      <c r="P14" s="566"/>
      <c r="Q14" s="566"/>
      <c r="R14" s="566"/>
      <c r="S14" s="566"/>
      <c r="T14" s="566"/>
      <c r="U14" s="566"/>
      <c r="V14" s="23"/>
      <c r="W14" s="23"/>
    </row>
    <row r="15" spans="1:23" ht="21.6" customHeight="1" x14ac:dyDescent="0.2">
      <c r="A15" s="623" t="s">
        <v>166</v>
      </c>
      <c r="B15" s="92" t="s">
        <v>89</v>
      </c>
      <c r="C15" s="93">
        <f t="shared" ref="C15:L15" si="4">C16</f>
        <v>0.13011334999999999</v>
      </c>
      <c r="D15" s="93">
        <f t="shared" si="4"/>
        <v>132.925602</v>
      </c>
      <c r="E15" s="93">
        <f t="shared" si="4"/>
        <v>255.03476000000001</v>
      </c>
      <c r="F15" s="93">
        <f t="shared" si="4"/>
        <v>112.383353</v>
      </c>
      <c r="G15" s="94" t="str">
        <f t="shared" si="4"/>
        <v>De minimis</v>
      </c>
      <c r="H15" s="93">
        <f t="shared" si="4"/>
        <v>0</v>
      </c>
      <c r="I15" s="93">
        <f t="shared" si="4"/>
        <v>0</v>
      </c>
      <c r="J15" s="93">
        <f t="shared" si="4"/>
        <v>0</v>
      </c>
      <c r="K15" s="93">
        <f t="shared" si="4"/>
        <v>0</v>
      </c>
      <c r="L15" s="93">
        <f t="shared" si="4"/>
        <v>0.64750220000000003</v>
      </c>
      <c r="M15" s="57"/>
      <c r="N15" s="573"/>
      <c r="O15" s="573"/>
      <c r="P15" s="573"/>
      <c r="Q15" s="573"/>
      <c r="R15" s="573"/>
      <c r="S15" s="573"/>
      <c r="T15" s="573"/>
      <c r="U15" s="573"/>
      <c r="V15" s="23"/>
      <c r="W15" s="23"/>
    </row>
    <row r="16" spans="1:23" ht="21.6" customHeight="1" x14ac:dyDescent="0.2">
      <c r="A16" s="623"/>
      <c r="B16" s="492" t="s">
        <v>11</v>
      </c>
      <c r="C16" s="98">
        <v>0.13011334999999999</v>
      </c>
      <c r="D16" s="98">
        <v>132.925602</v>
      </c>
      <c r="E16" s="98">
        <v>255.03476000000001</v>
      </c>
      <c r="F16" s="98">
        <v>112.383353</v>
      </c>
      <c r="G16" s="48" t="s">
        <v>161</v>
      </c>
      <c r="H16" s="98">
        <v>0</v>
      </c>
      <c r="I16" s="98">
        <v>0</v>
      </c>
      <c r="J16" s="98">
        <v>0</v>
      </c>
      <c r="K16" s="98">
        <v>0</v>
      </c>
      <c r="L16" s="98">
        <v>0.64750220000000003</v>
      </c>
      <c r="M16" s="57"/>
      <c r="N16" s="573"/>
      <c r="O16" s="573"/>
      <c r="P16" s="573"/>
      <c r="Q16" s="573"/>
      <c r="R16" s="573"/>
      <c r="S16" s="573"/>
      <c r="T16" s="573"/>
      <c r="U16" s="573"/>
      <c r="V16" s="23"/>
      <c r="W16" s="23"/>
    </row>
    <row r="17" spans="1:23" ht="21.6" customHeight="1" x14ac:dyDescent="0.2">
      <c r="A17" s="623"/>
      <c r="B17" s="92" t="s">
        <v>94</v>
      </c>
      <c r="C17" s="93">
        <f t="shared" ref="C17:L17" si="5">C18</f>
        <v>822.04018359999998</v>
      </c>
      <c r="D17" s="93">
        <f t="shared" si="5"/>
        <v>2173.2664528999999</v>
      </c>
      <c r="E17" s="93">
        <f t="shared" si="5"/>
        <v>110.3360241</v>
      </c>
      <c r="F17" s="93">
        <f t="shared" si="5"/>
        <v>154.6021112</v>
      </c>
      <c r="G17" s="93">
        <f t="shared" si="5"/>
        <v>9.0600000000000003E-3</v>
      </c>
      <c r="H17" s="93">
        <f t="shared" si="5"/>
        <v>3.6000000000000002E-4</v>
      </c>
      <c r="I17" s="94" t="str">
        <f t="shared" si="5"/>
        <v>N/R</v>
      </c>
      <c r="J17" s="94" t="str">
        <f t="shared" si="5"/>
        <v>N/R</v>
      </c>
      <c r="K17" s="94" t="str">
        <f t="shared" si="5"/>
        <v>N/R</v>
      </c>
      <c r="L17" s="94" t="str">
        <f t="shared" si="5"/>
        <v>N/R</v>
      </c>
      <c r="M17" s="57"/>
      <c r="N17" s="573"/>
      <c r="O17" s="573"/>
      <c r="P17" s="573"/>
      <c r="Q17" s="573"/>
      <c r="R17" s="573"/>
      <c r="S17" s="573"/>
      <c r="T17" s="573"/>
      <c r="U17" s="573"/>
      <c r="V17" s="23"/>
      <c r="W17" s="23"/>
    </row>
    <row r="18" spans="1:23" ht="21.6" customHeight="1" x14ac:dyDescent="0.2">
      <c r="A18" s="623"/>
      <c r="B18" s="97" t="s">
        <v>167</v>
      </c>
      <c r="C18" s="102">
        <v>822.04018359999998</v>
      </c>
      <c r="D18" s="98">
        <v>2173.2664528999999</v>
      </c>
      <c r="E18" s="98">
        <v>110.3360241</v>
      </c>
      <c r="F18" s="98">
        <v>154.6021112</v>
      </c>
      <c r="G18" s="98">
        <v>9.0600000000000003E-3</v>
      </c>
      <c r="H18" s="98">
        <v>3.6000000000000002E-4</v>
      </c>
      <c r="I18" s="48" t="s">
        <v>93</v>
      </c>
      <c r="J18" s="48" t="s">
        <v>93</v>
      </c>
      <c r="K18" s="48" t="s">
        <v>93</v>
      </c>
      <c r="L18" s="48" t="s">
        <v>93</v>
      </c>
      <c r="M18" s="57"/>
      <c r="N18" s="573"/>
      <c r="O18" s="573"/>
      <c r="P18" s="573"/>
      <c r="Q18" s="573"/>
      <c r="R18" s="573"/>
      <c r="S18" s="573"/>
      <c r="T18" s="573"/>
      <c r="U18" s="573"/>
      <c r="V18" s="23"/>
      <c r="W18" s="23"/>
    </row>
    <row r="19" spans="1:23" ht="21.6" customHeight="1" x14ac:dyDescent="0.2">
      <c r="A19" s="623"/>
      <c r="B19" s="92" t="s">
        <v>97</v>
      </c>
      <c r="C19" s="93">
        <f t="shared" ref="C19:L19" si="6">C20</f>
        <v>0.16</v>
      </c>
      <c r="D19" s="93">
        <f t="shared" si="6"/>
        <v>0.2</v>
      </c>
      <c r="E19" s="93">
        <f t="shared" si="6"/>
        <v>0.25</v>
      </c>
      <c r="F19" s="93">
        <f t="shared" si="6"/>
        <v>0.49</v>
      </c>
      <c r="G19" s="93">
        <f t="shared" si="6"/>
        <v>0.15</v>
      </c>
      <c r="H19" s="93">
        <f t="shared" si="6"/>
        <v>7.0000000000000007E-2</v>
      </c>
      <c r="I19" s="93">
        <f t="shared" si="6"/>
        <v>1.0999999999999999E-2</v>
      </c>
      <c r="J19" s="94" t="str">
        <f t="shared" si="6"/>
        <v>N/R</v>
      </c>
      <c r="K19" s="94" t="str">
        <f t="shared" si="6"/>
        <v>N/R</v>
      </c>
      <c r="L19" s="94" t="str">
        <f t="shared" si="6"/>
        <v>N/R</v>
      </c>
      <c r="M19" s="57"/>
      <c r="N19" s="23"/>
      <c r="O19" s="23"/>
      <c r="P19" s="23"/>
      <c r="Q19" s="23"/>
      <c r="R19" s="23"/>
      <c r="S19" s="23"/>
      <c r="T19" s="23"/>
      <c r="U19" s="23"/>
      <c r="V19" s="23"/>
      <c r="W19" s="23"/>
    </row>
    <row r="20" spans="1:23" ht="21.6" customHeight="1" x14ac:dyDescent="0.2">
      <c r="A20" s="623"/>
      <c r="B20" s="97" t="s">
        <v>20</v>
      </c>
      <c r="C20" s="102">
        <v>0.16</v>
      </c>
      <c r="D20" s="98">
        <v>0.2</v>
      </c>
      <c r="E20" s="98">
        <v>0.25</v>
      </c>
      <c r="F20" s="98">
        <v>0.49</v>
      </c>
      <c r="G20" s="98">
        <v>0.15</v>
      </c>
      <c r="H20" s="98">
        <v>7.0000000000000007E-2</v>
      </c>
      <c r="I20" s="98">
        <v>1.0999999999999999E-2</v>
      </c>
      <c r="J20" s="48" t="s">
        <v>93</v>
      </c>
      <c r="K20" s="48" t="s">
        <v>93</v>
      </c>
      <c r="L20" s="48" t="s">
        <v>93</v>
      </c>
      <c r="M20" s="57"/>
      <c r="N20" s="23"/>
      <c r="O20" s="23"/>
      <c r="P20" s="23"/>
      <c r="Q20" s="23"/>
      <c r="R20" s="23"/>
      <c r="S20" s="23"/>
      <c r="T20" s="23"/>
      <c r="U20" s="23"/>
      <c r="V20" s="23"/>
      <c r="W20" s="23"/>
    </row>
    <row r="21" spans="1:23" ht="21.6" customHeight="1" x14ac:dyDescent="0.2">
      <c r="A21" s="623" t="s">
        <v>168</v>
      </c>
      <c r="B21" s="92" t="s">
        <v>76</v>
      </c>
      <c r="C21" s="93">
        <f t="shared" ref="C21:L21" si="7">SUM(C22:C23)</f>
        <v>4.3595563240000006</v>
      </c>
      <c r="D21" s="93">
        <f t="shared" si="7"/>
        <v>3251.2713629999998</v>
      </c>
      <c r="E21" s="93">
        <f t="shared" si="7"/>
        <v>13259.471240000001</v>
      </c>
      <c r="F21" s="93">
        <f t="shared" si="7"/>
        <v>1676.4785154000001</v>
      </c>
      <c r="G21" s="93">
        <f t="shared" si="7"/>
        <v>1.8358820015E-3</v>
      </c>
      <c r="H21" s="93">
        <f t="shared" si="7"/>
        <v>2.4220927406000001</v>
      </c>
      <c r="I21" s="93">
        <f t="shared" si="7"/>
        <v>0.44614277590000001</v>
      </c>
      <c r="J21" s="93">
        <f t="shared" si="7"/>
        <v>6.800204E-2</v>
      </c>
      <c r="K21" s="93">
        <f t="shared" si="7"/>
        <v>0</v>
      </c>
      <c r="L21" s="93">
        <f t="shared" si="7"/>
        <v>291.24219129999994</v>
      </c>
      <c r="M21" s="57"/>
      <c r="N21" s="23"/>
      <c r="O21" s="23"/>
      <c r="P21" s="23"/>
      <c r="Q21" s="23"/>
      <c r="R21" s="23"/>
      <c r="S21" s="23"/>
      <c r="T21" s="23"/>
      <c r="U21" s="23"/>
      <c r="V21" s="23"/>
      <c r="W21" s="23"/>
    </row>
    <row r="22" spans="1:23" ht="21.6" customHeight="1" x14ac:dyDescent="0.2">
      <c r="A22" s="623"/>
      <c r="B22" s="97" t="s">
        <v>169</v>
      </c>
      <c r="C22" s="102">
        <v>3.5605563240000002</v>
      </c>
      <c r="D22" s="98">
        <v>1995.321363</v>
      </c>
      <c r="E22" s="98">
        <v>11605.979240000001</v>
      </c>
      <c r="F22" s="98">
        <v>935.04151539999998</v>
      </c>
      <c r="G22" s="98">
        <v>1.6244820015E-3</v>
      </c>
      <c r="H22" s="98">
        <v>1.1600927405999999</v>
      </c>
      <c r="I22" s="98">
        <v>0.3691427759</v>
      </c>
      <c r="J22" s="98">
        <v>6.800204E-2</v>
      </c>
      <c r="K22" s="48" t="s">
        <v>93</v>
      </c>
      <c r="L22" s="98">
        <v>137.45919129999999</v>
      </c>
      <c r="M22" s="57"/>
      <c r="N22" s="23"/>
      <c r="O22" s="23"/>
      <c r="P22" s="23"/>
      <c r="Q22" s="23"/>
      <c r="R22" s="23"/>
      <c r="S22" s="23"/>
      <c r="T22" s="23"/>
      <c r="U22" s="23"/>
      <c r="V22" s="23"/>
      <c r="W22" s="23"/>
    </row>
    <row r="23" spans="1:23" ht="21.6" customHeight="1" x14ac:dyDescent="0.2">
      <c r="A23" s="623"/>
      <c r="B23" s="97" t="s">
        <v>14</v>
      </c>
      <c r="C23" s="102">
        <v>0.79900000000000004</v>
      </c>
      <c r="D23" s="98">
        <v>1255.95</v>
      </c>
      <c r="E23" s="98">
        <v>1653.492</v>
      </c>
      <c r="F23" s="98">
        <v>741.43700000000001</v>
      </c>
      <c r="G23" s="98">
        <v>2.1139999999999999E-4</v>
      </c>
      <c r="H23" s="98">
        <v>1.262</v>
      </c>
      <c r="I23" s="98">
        <v>7.6999999999999999E-2</v>
      </c>
      <c r="J23" s="48" t="s">
        <v>93</v>
      </c>
      <c r="K23" s="48" t="s">
        <v>93</v>
      </c>
      <c r="L23" s="98">
        <v>153.78299999999999</v>
      </c>
      <c r="M23" s="57"/>
      <c r="N23" s="23"/>
      <c r="O23" s="23"/>
      <c r="P23" s="23"/>
      <c r="Q23" s="23"/>
      <c r="R23" s="23"/>
      <c r="S23" s="23"/>
      <c r="T23" s="23"/>
      <c r="U23" s="23"/>
      <c r="V23" s="23"/>
      <c r="W23" s="23"/>
    </row>
    <row r="24" spans="1:23" ht="21.6" customHeight="1" x14ac:dyDescent="0.2">
      <c r="A24" s="42" t="s">
        <v>170</v>
      </c>
      <c r="B24" s="103" t="s">
        <v>50</v>
      </c>
      <c r="C24" s="93">
        <f t="shared" ref="C24:L24" si="8">SUM(C4,C7,C9,C13,C15,C17,C19,C21)</f>
        <v>876.34276171399995</v>
      </c>
      <c r="D24" s="93">
        <f t="shared" si="8"/>
        <v>10606.985536159998</v>
      </c>
      <c r="E24" s="93">
        <f t="shared" si="8"/>
        <v>17963.50657722</v>
      </c>
      <c r="F24" s="93">
        <f t="shared" si="8"/>
        <v>5738.1691083400001</v>
      </c>
      <c r="G24" s="93">
        <f t="shared" si="8"/>
        <v>0.26239588200149999</v>
      </c>
      <c r="H24" s="93">
        <f t="shared" si="8"/>
        <v>2.4932527406</v>
      </c>
      <c r="I24" s="93">
        <f t="shared" si="8"/>
        <v>4.5239527759000007</v>
      </c>
      <c r="J24" s="93">
        <f t="shared" si="8"/>
        <v>0.25100203999999998</v>
      </c>
      <c r="K24" s="93">
        <f t="shared" si="8"/>
        <v>0</v>
      </c>
      <c r="L24" s="93">
        <f t="shared" si="8"/>
        <v>665.33174209999993</v>
      </c>
      <c r="M24" s="57"/>
      <c r="N24" s="23"/>
      <c r="O24" s="23"/>
      <c r="P24" s="23"/>
      <c r="Q24" s="23"/>
      <c r="R24" s="23"/>
      <c r="S24" s="23"/>
      <c r="T24" s="23"/>
      <c r="U24" s="23"/>
      <c r="V24" s="23"/>
      <c r="W24" s="23"/>
    </row>
    <row r="25" spans="1:23" ht="83.25" customHeight="1" x14ac:dyDescent="0.2">
      <c r="A25" s="572" t="s">
        <v>1240</v>
      </c>
      <c r="B25" s="566"/>
      <c r="C25" s="566"/>
      <c r="D25" s="566"/>
      <c r="E25" s="566"/>
      <c r="F25" s="566"/>
      <c r="G25" s="566"/>
      <c r="H25" s="566"/>
      <c r="I25" s="566"/>
      <c r="J25" s="566"/>
      <c r="K25" s="566"/>
      <c r="L25" s="566"/>
      <c r="M25" s="23"/>
      <c r="N25" s="23"/>
      <c r="O25" s="23"/>
      <c r="P25" s="23"/>
      <c r="Q25" s="23"/>
      <c r="R25" s="23"/>
      <c r="S25" s="23"/>
      <c r="T25" s="23"/>
      <c r="U25" s="23"/>
      <c r="V25" s="23"/>
      <c r="W25" s="23"/>
    </row>
    <row r="26" spans="1:23" ht="66.599999999999994" customHeight="1" x14ac:dyDescent="0.2">
      <c r="A26" s="23"/>
      <c r="B26" s="23"/>
      <c r="C26" s="23"/>
      <c r="D26" s="23"/>
      <c r="E26" s="23"/>
      <c r="F26" s="23"/>
      <c r="G26" s="23"/>
      <c r="H26" s="23"/>
      <c r="I26" s="23"/>
      <c r="J26" s="23"/>
      <c r="K26" s="23"/>
      <c r="L26" s="23"/>
      <c r="M26" s="23"/>
      <c r="N26" s="23"/>
      <c r="O26" s="23"/>
      <c r="P26" s="23"/>
      <c r="Q26" s="23"/>
      <c r="R26" s="23"/>
      <c r="S26" s="23"/>
      <c r="T26" s="23"/>
      <c r="U26" s="23"/>
      <c r="V26" s="23"/>
      <c r="W26" s="23"/>
    </row>
    <row r="27" spans="1:23" ht="33.200000000000003" customHeight="1" x14ac:dyDescent="0.2">
      <c r="A27" s="7"/>
      <c r="B27" s="7"/>
      <c r="C27" s="7"/>
      <c r="D27" s="7"/>
      <c r="E27" s="7"/>
      <c r="F27" s="7"/>
      <c r="G27" s="7"/>
      <c r="H27" s="7"/>
      <c r="I27" s="23"/>
      <c r="M27" s="23"/>
      <c r="N27" s="23"/>
      <c r="O27" s="23"/>
      <c r="P27" s="23"/>
      <c r="Q27" s="23"/>
      <c r="R27" s="23"/>
      <c r="S27" s="23"/>
      <c r="T27" s="23"/>
      <c r="U27" s="23"/>
      <c r="V27" s="23"/>
      <c r="W27" s="23"/>
    </row>
    <row r="28" spans="1:23" ht="21.6" customHeight="1" x14ac:dyDescent="0.2">
      <c r="A28" s="7"/>
      <c r="B28" s="7"/>
      <c r="C28" s="7"/>
      <c r="D28" s="7"/>
      <c r="E28" s="7"/>
      <c r="F28" s="7"/>
      <c r="G28" s="7"/>
      <c r="I28" s="23"/>
      <c r="J28" s="23"/>
      <c r="K28" s="23"/>
      <c r="L28" s="23"/>
      <c r="M28" s="23"/>
      <c r="N28" s="23"/>
      <c r="O28" s="23"/>
      <c r="P28" s="23"/>
      <c r="Q28" s="23"/>
      <c r="R28" s="23"/>
      <c r="S28" s="23"/>
      <c r="T28" s="23"/>
      <c r="U28" s="23"/>
      <c r="V28" s="23"/>
      <c r="W28" s="23"/>
    </row>
    <row r="29" spans="1:23" ht="21.6" customHeight="1" x14ac:dyDescent="0.2">
      <c r="A29" s="7"/>
      <c r="B29" s="7"/>
      <c r="C29" s="7"/>
      <c r="D29" s="7"/>
      <c r="E29" s="7"/>
      <c r="F29" s="7"/>
      <c r="G29" s="7"/>
      <c r="I29" s="23"/>
      <c r="J29" s="23"/>
      <c r="K29" s="23"/>
      <c r="L29" s="23"/>
      <c r="M29" s="23"/>
      <c r="N29" s="23"/>
      <c r="O29" s="23"/>
      <c r="P29" s="23"/>
      <c r="Q29" s="23"/>
      <c r="R29" s="23"/>
      <c r="S29" s="23"/>
      <c r="T29" s="23"/>
      <c r="U29" s="23"/>
      <c r="V29" s="23"/>
      <c r="W29" s="23"/>
    </row>
    <row r="30" spans="1:23" ht="21.6" customHeight="1" x14ac:dyDescent="0.2">
      <c r="A30" s="7"/>
      <c r="B30" s="7"/>
      <c r="C30" s="7"/>
      <c r="D30" s="7"/>
      <c r="E30" s="7"/>
      <c r="F30" s="7"/>
      <c r="G30" s="7"/>
      <c r="I30" s="23"/>
      <c r="J30" s="23"/>
      <c r="K30" s="23"/>
      <c r="L30" s="23"/>
      <c r="M30" s="23"/>
      <c r="N30" s="23"/>
      <c r="O30" s="23"/>
      <c r="P30" s="23"/>
      <c r="Q30" s="23"/>
      <c r="R30" s="23"/>
      <c r="S30" s="23"/>
      <c r="T30" s="23"/>
      <c r="U30" s="23"/>
      <c r="V30" s="23"/>
      <c r="W30" s="23"/>
    </row>
    <row r="31" spans="1:23" ht="21.6" customHeight="1" x14ac:dyDescent="0.2">
      <c r="A31" s="7"/>
      <c r="B31" s="7"/>
      <c r="C31" s="7"/>
      <c r="D31" s="7"/>
      <c r="E31" s="7"/>
      <c r="F31" s="7"/>
      <c r="G31" s="7"/>
      <c r="I31" s="23"/>
      <c r="J31" s="23"/>
      <c r="K31" s="23"/>
      <c r="L31" s="23"/>
      <c r="M31" s="23"/>
      <c r="N31" s="23"/>
      <c r="O31" s="23"/>
      <c r="P31" s="23"/>
      <c r="Q31" s="23"/>
      <c r="R31" s="23"/>
      <c r="S31" s="23"/>
      <c r="T31" s="23"/>
      <c r="U31" s="23"/>
      <c r="V31" s="23"/>
      <c r="W31" s="23"/>
    </row>
    <row r="32" spans="1:23" ht="21.6" customHeight="1" x14ac:dyDescent="0.2">
      <c r="A32" s="7"/>
      <c r="B32" s="7"/>
      <c r="C32" s="7"/>
      <c r="D32" s="7"/>
      <c r="E32" s="7"/>
      <c r="F32" s="7"/>
      <c r="G32" s="7"/>
      <c r="I32" s="23"/>
      <c r="J32" s="31"/>
      <c r="K32" s="34"/>
      <c r="L32" s="34"/>
      <c r="M32" s="23"/>
      <c r="N32" s="23"/>
      <c r="O32" s="23"/>
      <c r="P32" s="23"/>
      <c r="Q32" s="23"/>
      <c r="R32" s="23"/>
      <c r="S32" s="23"/>
      <c r="T32" s="23"/>
      <c r="U32" s="23"/>
      <c r="V32" s="23"/>
      <c r="W32" s="23"/>
    </row>
    <row r="33" spans="1:23" ht="21.6" customHeight="1" x14ac:dyDescent="0.2">
      <c r="A33" s="7"/>
      <c r="B33" s="7"/>
      <c r="C33" s="7"/>
      <c r="D33" s="7"/>
      <c r="E33" s="7"/>
      <c r="F33" s="7"/>
      <c r="G33" s="7"/>
      <c r="I33" s="23"/>
      <c r="J33" s="23"/>
      <c r="K33" s="23"/>
      <c r="L33" s="23"/>
      <c r="M33" s="23"/>
      <c r="N33" s="23"/>
      <c r="O33" s="23"/>
      <c r="P33" s="23"/>
      <c r="Q33" s="23"/>
      <c r="R33" s="23"/>
      <c r="S33" s="23"/>
      <c r="T33" s="23"/>
      <c r="U33" s="23"/>
      <c r="V33" s="23"/>
      <c r="W33" s="23"/>
    </row>
    <row r="34" spans="1:23" ht="21.6" customHeight="1" x14ac:dyDescent="0.2">
      <c r="A34" s="7"/>
      <c r="B34" s="7"/>
      <c r="C34" s="7"/>
      <c r="D34" s="7"/>
      <c r="E34" s="7"/>
      <c r="F34" s="7"/>
      <c r="G34" s="7"/>
      <c r="I34" s="23"/>
      <c r="J34" s="23"/>
      <c r="K34" s="23"/>
      <c r="L34" s="23"/>
      <c r="M34" s="23"/>
      <c r="N34" s="23"/>
      <c r="O34" s="23"/>
      <c r="P34" s="23"/>
      <c r="Q34" s="23"/>
      <c r="R34" s="23"/>
      <c r="S34" s="23"/>
      <c r="T34" s="23"/>
      <c r="U34" s="23"/>
      <c r="V34" s="23"/>
      <c r="W34" s="23"/>
    </row>
    <row r="35" spans="1:23" ht="21.6" customHeight="1" x14ac:dyDescent="0.2">
      <c r="A35" s="7"/>
      <c r="B35" s="7"/>
      <c r="C35" s="7"/>
      <c r="D35" s="7"/>
      <c r="E35" s="7"/>
      <c r="F35" s="7"/>
      <c r="G35" s="7"/>
      <c r="I35" s="23"/>
      <c r="J35" s="23"/>
      <c r="K35" s="23"/>
      <c r="L35" s="23"/>
      <c r="M35" s="23"/>
      <c r="N35" s="23"/>
      <c r="O35" s="23"/>
      <c r="P35" s="23"/>
      <c r="Q35" s="23"/>
      <c r="R35" s="23"/>
      <c r="S35" s="23"/>
      <c r="T35" s="23"/>
      <c r="U35" s="23"/>
      <c r="V35" s="23"/>
      <c r="W35" s="23"/>
    </row>
    <row r="36" spans="1:23" ht="21.6" customHeight="1" x14ac:dyDescent="0.2">
      <c r="A36" s="7"/>
      <c r="B36" s="7"/>
      <c r="C36" s="7"/>
      <c r="D36" s="7"/>
      <c r="E36" s="7"/>
      <c r="F36" s="7"/>
      <c r="G36" s="7"/>
      <c r="I36" s="23"/>
      <c r="J36" s="23"/>
      <c r="K36" s="23"/>
      <c r="L36" s="23"/>
      <c r="M36" s="23"/>
      <c r="N36" s="23"/>
      <c r="O36" s="23"/>
      <c r="P36" s="23"/>
      <c r="Q36" s="23"/>
      <c r="R36" s="23"/>
      <c r="S36" s="23"/>
      <c r="T36" s="23"/>
      <c r="U36" s="23"/>
      <c r="V36" s="23"/>
      <c r="W36" s="23"/>
    </row>
    <row r="37" spans="1:23" ht="21.6" customHeight="1" x14ac:dyDescent="0.2">
      <c r="A37" s="7"/>
      <c r="B37" s="7"/>
      <c r="C37" s="7"/>
      <c r="D37" s="7"/>
      <c r="E37" s="7"/>
      <c r="F37" s="7"/>
      <c r="G37" s="7"/>
      <c r="I37" s="23"/>
      <c r="J37" s="23"/>
      <c r="K37" s="23"/>
      <c r="L37" s="23"/>
      <c r="M37" s="23"/>
      <c r="N37" s="23"/>
      <c r="O37" s="23"/>
      <c r="P37" s="23"/>
      <c r="Q37" s="23"/>
      <c r="R37" s="23"/>
      <c r="S37" s="23"/>
      <c r="T37" s="23"/>
      <c r="U37" s="23"/>
      <c r="V37" s="23"/>
      <c r="W37" s="23"/>
    </row>
    <row r="38" spans="1:23" ht="131.65" customHeight="1" x14ac:dyDescent="0.2">
      <c r="A38" s="7"/>
      <c r="I38" s="23"/>
      <c r="J38" s="23"/>
      <c r="K38" s="23"/>
      <c r="L38" s="23"/>
      <c r="M38" s="23"/>
      <c r="N38" s="23"/>
      <c r="O38" s="23"/>
      <c r="P38" s="23"/>
      <c r="Q38" s="23"/>
      <c r="R38" s="23"/>
      <c r="S38" s="23"/>
      <c r="T38" s="23"/>
      <c r="U38" s="23"/>
      <c r="V38" s="23"/>
      <c r="W38" s="23"/>
    </row>
    <row r="39" spans="1:23" ht="18.2" customHeight="1" x14ac:dyDescent="0.2">
      <c r="A39" s="23"/>
      <c r="B39" s="107"/>
      <c r="C39" s="23"/>
      <c r="D39" s="23"/>
      <c r="E39" s="107"/>
      <c r="F39" s="107"/>
      <c r="G39" s="107"/>
      <c r="H39" s="23"/>
      <c r="I39" s="23"/>
      <c r="J39" s="23"/>
      <c r="K39" s="23"/>
      <c r="L39" s="23"/>
      <c r="M39" s="23"/>
      <c r="N39" s="23"/>
      <c r="O39" s="23"/>
      <c r="P39" s="23"/>
      <c r="Q39" s="23"/>
      <c r="R39" s="23"/>
      <c r="S39" s="23"/>
      <c r="T39" s="23"/>
      <c r="U39" s="23"/>
      <c r="V39" s="23"/>
      <c r="W39" s="23"/>
    </row>
    <row r="40" spans="1:23" ht="18.2" customHeight="1" x14ac:dyDescent="0.2">
      <c r="A40" s="23"/>
      <c r="B40" s="107"/>
      <c r="C40" s="23"/>
      <c r="D40" s="23"/>
      <c r="E40" s="107"/>
      <c r="F40" s="107"/>
      <c r="G40" s="107"/>
      <c r="H40" s="23"/>
      <c r="I40" s="23"/>
      <c r="J40" s="23"/>
      <c r="K40" s="23"/>
      <c r="L40" s="23"/>
      <c r="M40" s="23"/>
      <c r="N40" s="23"/>
      <c r="O40" s="23"/>
      <c r="P40" s="23"/>
      <c r="Q40" s="23"/>
      <c r="R40" s="23"/>
      <c r="S40" s="23"/>
      <c r="T40" s="23"/>
      <c r="U40" s="23"/>
      <c r="V40" s="23"/>
      <c r="W40" s="23"/>
    </row>
    <row r="41" spans="1:23" ht="18.2" customHeight="1" x14ac:dyDescent="0.2">
      <c r="A41" s="23"/>
      <c r="B41" s="107"/>
      <c r="C41" s="23"/>
      <c r="D41" s="23"/>
      <c r="E41" s="107"/>
      <c r="F41" s="107"/>
      <c r="G41" s="107"/>
      <c r="H41" s="23"/>
      <c r="I41" s="23"/>
      <c r="J41" s="23"/>
      <c r="K41" s="23"/>
      <c r="L41" s="23"/>
      <c r="M41" s="23"/>
      <c r="N41" s="23"/>
      <c r="O41" s="23"/>
      <c r="P41" s="23"/>
      <c r="Q41" s="23"/>
      <c r="R41" s="23"/>
      <c r="S41" s="23"/>
      <c r="T41" s="23"/>
      <c r="U41" s="23"/>
      <c r="V41" s="23"/>
      <c r="W41" s="23"/>
    </row>
    <row r="42" spans="1:23" ht="18.2" customHeight="1" x14ac:dyDescent="0.2">
      <c r="A42" s="23"/>
      <c r="B42" s="34"/>
      <c r="C42" s="23"/>
      <c r="D42" s="23"/>
      <c r="E42" s="34"/>
      <c r="F42" s="34"/>
      <c r="G42" s="34"/>
      <c r="H42" s="23"/>
      <c r="I42" s="23"/>
      <c r="J42" s="23"/>
      <c r="K42" s="23"/>
      <c r="L42" s="23"/>
      <c r="M42" s="23"/>
      <c r="N42" s="23"/>
      <c r="O42" s="23"/>
      <c r="P42" s="23"/>
      <c r="Q42" s="23"/>
      <c r="R42" s="23"/>
      <c r="S42" s="23"/>
      <c r="T42" s="23"/>
      <c r="U42" s="23"/>
      <c r="V42" s="23"/>
      <c r="W42" s="23"/>
    </row>
    <row r="43" spans="1:23" ht="18.2" customHeight="1" x14ac:dyDescent="0.2">
      <c r="A43" s="34"/>
      <c r="B43" s="34"/>
      <c r="C43" s="23"/>
      <c r="D43" s="23"/>
      <c r="E43" s="34"/>
      <c r="F43" s="34"/>
      <c r="G43" s="34"/>
      <c r="H43" s="23"/>
      <c r="I43" s="23"/>
      <c r="J43" s="23"/>
      <c r="K43" s="23"/>
      <c r="L43" s="23"/>
      <c r="M43" s="23"/>
      <c r="N43" s="23"/>
      <c r="O43" s="23"/>
      <c r="P43" s="23"/>
      <c r="Q43" s="23"/>
      <c r="R43" s="23"/>
      <c r="S43" s="23"/>
      <c r="T43" s="23"/>
      <c r="U43" s="23"/>
      <c r="V43" s="23"/>
      <c r="W43" s="23"/>
    </row>
    <row r="44" spans="1:23" ht="18.2" customHeight="1" x14ac:dyDescent="0.2">
      <c r="A44" s="23"/>
      <c r="B44" s="34"/>
      <c r="C44" s="23"/>
      <c r="D44" s="23"/>
      <c r="E44" s="34"/>
      <c r="F44" s="34"/>
      <c r="G44" s="34"/>
      <c r="H44" s="23"/>
      <c r="I44" s="23"/>
      <c r="J44" s="23"/>
      <c r="K44" s="23"/>
      <c r="L44" s="23"/>
      <c r="M44" s="23"/>
      <c r="N44" s="23"/>
      <c r="O44" s="23"/>
      <c r="P44" s="23"/>
      <c r="Q44" s="23"/>
      <c r="R44" s="23"/>
      <c r="S44" s="23"/>
      <c r="T44" s="23"/>
      <c r="U44" s="23"/>
      <c r="V44" s="23"/>
      <c r="W44" s="23"/>
    </row>
    <row r="45" spans="1:23" ht="18.2" customHeight="1" x14ac:dyDescent="0.2">
      <c r="A45" s="23"/>
      <c r="B45" s="34"/>
      <c r="C45" s="23"/>
      <c r="D45" s="23"/>
      <c r="E45" s="34"/>
      <c r="F45" s="34"/>
      <c r="G45" s="34"/>
      <c r="H45" s="23"/>
      <c r="I45" s="23"/>
      <c r="J45" s="23"/>
      <c r="K45" s="23"/>
      <c r="L45" s="23"/>
      <c r="M45" s="23"/>
      <c r="N45" s="23"/>
      <c r="O45" s="23"/>
      <c r="P45" s="23"/>
      <c r="Q45" s="23"/>
      <c r="R45" s="23"/>
      <c r="S45" s="23"/>
      <c r="T45" s="23"/>
      <c r="U45" s="23"/>
      <c r="V45" s="23"/>
      <c r="W45" s="23"/>
    </row>
    <row r="46" spans="1:23" ht="18.2" customHeight="1" x14ac:dyDescent="0.2">
      <c r="A46" s="23"/>
      <c r="B46" s="34"/>
      <c r="C46" s="23"/>
      <c r="D46" s="23"/>
      <c r="E46" s="34"/>
      <c r="F46" s="34"/>
      <c r="G46" s="34"/>
      <c r="H46" s="23"/>
      <c r="I46" s="23"/>
      <c r="J46" s="23"/>
      <c r="K46" s="23"/>
      <c r="L46" s="23"/>
      <c r="M46" s="23"/>
      <c r="N46" s="23"/>
      <c r="O46" s="23"/>
      <c r="P46" s="23"/>
      <c r="Q46" s="23"/>
      <c r="R46" s="23"/>
      <c r="S46" s="23"/>
      <c r="T46" s="23"/>
      <c r="U46" s="23"/>
      <c r="V46" s="23"/>
      <c r="W46" s="23"/>
    </row>
    <row r="47" spans="1:23" ht="18.2" customHeight="1" x14ac:dyDescent="0.2">
      <c r="A47" s="23"/>
      <c r="B47" s="34"/>
      <c r="C47" s="23"/>
      <c r="D47" s="23"/>
      <c r="E47" s="34"/>
      <c r="F47" s="34"/>
      <c r="G47" s="34"/>
      <c r="H47" s="23"/>
      <c r="I47" s="23"/>
      <c r="J47" s="23"/>
      <c r="K47" s="23"/>
      <c r="L47" s="23"/>
      <c r="M47" s="23"/>
      <c r="N47" s="23"/>
      <c r="O47" s="23"/>
      <c r="P47" s="23"/>
      <c r="Q47" s="23"/>
      <c r="R47" s="23"/>
      <c r="S47" s="23"/>
      <c r="T47" s="23"/>
      <c r="U47" s="23"/>
      <c r="V47" s="23"/>
      <c r="W47" s="23"/>
    </row>
    <row r="48" spans="1:23" ht="18.2" customHeight="1" x14ac:dyDescent="0.2">
      <c r="A48" s="23"/>
      <c r="B48" s="34"/>
      <c r="C48" s="23"/>
      <c r="D48" s="23"/>
      <c r="E48" s="34"/>
      <c r="F48" s="34"/>
      <c r="G48" s="34"/>
      <c r="H48" s="23"/>
      <c r="I48" s="23"/>
      <c r="J48" s="23"/>
      <c r="K48" s="23"/>
      <c r="L48" s="23"/>
      <c r="M48" s="23"/>
      <c r="N48" s="23"/>
      <c r="O48" s="23"/>
      <c r="P48" s="23"/>
      <c r="Q48" s="23"/>
      <c r="R48" s="23"/>
      <c r="S48" s="23"/>
      <c r="T48" s="23"/>
      <c r="U48" s="23"/>
      <c r="V48" s="23"/>
      <c r="W48" s="23"/>
    </row>
    <row r="49" spans="1:23" ht="18.2" customHeight="1" x14ac:dyDescent="0.2">
      <c r="A49" s="23"/>
      <c r="B49" s="34"/>
      <c r="C49" s="23"/>
      <c r="D49" s="23"/>
      <c r="E49" s="34"/>
      <c r="F49" s="34"/>
      <c r="G49" s="34"/>
      <c r="H49" s="23"/>
      <c r="I49" s="23"/>
      <c r="J49" s="23"/>
      <c r="K49" s="23"/>
      <c r="L49" s="23"/>
      <c r="M49" s="23"/>
      <c r="N49" s="23"/>
      <c r="O49" s="23"/>
      <c r="P49" s="23"/>
      <c r="Q49" s="23"/>
      <c r="R49" s="23"/>
      <c r="S49" s="23"/>
      <c r="T49" s="23"/>
      <c r="U49" s="23"/>
      <c r="V49" s="23"/>
      <c r="W49" s="23"/>
    </row>
    <row r="50" spans="1:23" ht="18.2" customHeight="1" x14ac:dyDescent="0.2">
      <c r="A50" s="23"/>
      <c r="B50" s="34"/>
      <c r="C50" s="23"/>
      <c r="D50" s="23"/>
      <c r="E50" s="34"/>
      <c r="F50" s="34"/>
      <c r="G50" s="34"/>
      <c r="H50" s="23"/>
      <c r="I50" s="23"/>
      <c r="J50" s="23"/>
      <c r="K50" s="23"/>
      <c r="L50" s="23"/>
      <c r="M50" s="23"/>
      <c r="N50" s="23"/>
      <c r="O50" s="23"/>
      <c r="P50" s="23"/>
      <c r="Q50" s="23"/>
      <c r="R50" s="23"/>
      <c r="S50" s="23"/>
      <c r="T50" s="23"/>
      <c r="U50" s="23"/>
      <c r="V50" s="23"/>
      <c r="W50" s="23"/>
    </row>
    <row r="51" spans="1:23" ht="18.2" customHeight="1" x14ac:dyDescent="0.2">
      <c r="A51" s="23"/>
      <c r="B51" s="34"/>
      <c r="C51" s="23"/>
      <c r="D51" s="23"/>
      <c r="E51" s="34"/>
      <c r="F51" s="34"/>
      <c r="G51" s="34"/>
      <c r="H51" s="23"/>
      <c r="I51" s="23"/>
      <c r="J51" s="23"/>
      <c r="K51" s="23"/>
      <c r="L51" s="23"/>
      <c r="M51" s="23"/>
      <c r="N51" s="23"/>
      <c r="O51" s="23"/>
      <c r="P51" s="23"/>
      <c r="Q51" s="23"/>
      <c r="R51" s="23"/>
      <c r="S51" s="23"/>
      <c r="T51" s="23"/>
      <c r="U51" s="23"/>
      <c r="V51" s="23"/>
      <c r="W51" s="23"/>
    </row>
    <row r="52" spans="1:23" ht="18.2" customHeight="1" x14ac:dyDescent="0.2">
      <c r="A52" s="23"/>
      <c r="B52" s="34"/>
      <c r="C52" s="23"/>
      <c r="D52" s="23"/>
      <c r="E52" s="34"/>
      <c r="F52" s="34"/>
      <c r="G52" s="34"/>
      <c r="H52" s="23"/>
      <c r="I52" s="23"/>
      <c r="J52" s="23"/>
      <c r="K52" s="23"/>
      <c r="L52" s="23"/>
      <c r="M52" s="23"/>
      <c r="N52" s="23"/>
      <c r="O52" s="23"/>
      <c r="P52" s="23"/>
      <c r="Q52" s="23"/>
      <c r="R52" s="23"/>
      <c r="S52" s="23"/>
      <c r="T52" s="23"/>
      <c r="U52" s="23"/>
      <c r="V52" s="23"/>
      <c r="W52" s="23"/>
    </row>
    <row r="53" spans="1:23" ht="18.2" customHeight="1" x14ac:dyDescent="0.2">
      <c r="A53" s="23"/>
      <c r="B53" s="34"/>
      <c r="C53" s="23"/>
      <c r="D53" s="23"/>
      <c r="E53" s="34"/>
      <c r="F53" s="34"/>
      <c r="G53" s="34"/>
      <c r="H53" s="23"/>
      <c r="I53" s="23"/>
      <c r="J53" s="23"/>
      <c r="K53" s="23"/>
      <c r="L53" s="23"/>
      <c r="M53" s="23"/>
      <c r="N53" s="23"/>
      <c r="O53" s="23"/>
      <c r="P53" s="23"/>
      <c r="Q53" s="23"/>
      <c r="R53" s="23"/>
      <c r="S53" s="23"/>
      <c r="T53" s="23"/>
      <c r="U53" s="23"/>
      <c r="V53" s="23"/>
      <c r="W53" s="23"/>
    </row>
    <row r="54" spans="1:23" ht="19.149999999999999" customHeight="1" x14ac:dyDescent="0.2">
      <c r="A54" s="23"/>
      <c r="B54" s="34"/>
      <c r="C54" s="23"/>
      <c r="D54" s="23"/>
      <c r="E54" s="23"/>
      <c r="F54" s="34"/>
      <c r="G54" s="34"/>
      <c r="H54" s="23"/>
      <c r="I54" s="23"/>
      <c r="J54" s="23"/>
      <c r="K54" s="23"/>
      <c r="L54" s="23"/>
      <c r="M54" s="23"/>
      <c r="N54" s="23"/>
      <c r="O54" s="23"/>
      <c r="P54" s="23"/>
      <c r="Q54" s="23"/>
      <c r="R54" s="23"/>
      <c r="S54" s="23"/>
      <c r="T54" s="23"/>
      <c r="U54" s="23"/>
      <c r="V54" s="23"/>
      <c r="W54" s="23"/>
    </row>
    <row r="55" spans="1:23" ht="15" customHeight="1" x14ac:dyDescent="0.2">
      <c r="N55" s="23"/>
      <c r="O55" s="23"/>
      <c r="P55" s="23"/>
      <c r="Q55" s="23"/>
      <c r="R55" s="23"/>
      <c r="S55" s="23"/>
      <c r="T55" s="23"/>
      <c r="U55" s="23"/>
    </row>
  </sheetData>
  <sheetProtection algorithmName="SHA-512" hashValue="k4RGt1aBVws3WfAXXG8Zk4dfBRruFvDcyiMzCOIvtsmubz/N8Y1Ke/W7YKnWlmeTyzjeA5yFnLjB1aimHg5XzQ==" saltValue="RjvzBf/ILCyi+VXasBAz8g==" spinCount="100000" sheet="1" objects="1" scenarios="1"/>
  <mergeCells count="7">
    <mergeCell ref="A25:L25"/>
    <mergeCell ref="N14:U18"/>
    <mergeCell ref="A1:F1"/>
    <mergeCell ref="A4:A6"/>
    <mergeCell ref="A7:A14"/>
    <mergeCell ref="A15:A20"/>
    <mergeCell ref="A21:A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68"/>
  <sheetViews>
    <sheetView showGridLines="0" showRuler="0" workbookViewId="0">
      <selection activeCell="B4" sqref="B4"/>
    </sheetView>
  </sheetViews>
  <sheetFormatPr defaultColWidth="13.140625" defaultRowHeight="12.75" x14ac:dyDescent="0.2"/>
  <cols>
    <col min="1" max="1" width="36.140625" customWidth="1"/>
    <col min="2" max="2" width="40" customWidth="1"/>
    <col min="3" max="3" width="27.42578125" customWidth="1"/>
    <col min="4" max="4" width="8.5703125" customWidth="1"/>
    <col min="5" max="5" width="40" customWidth="1"/>
    <col min="6" max="6" width="11.85546875" hidden="1" customWidth="1"/>
    <col min="7" max="10" width="11.85546875" customWidth="1"/>
    <col min="11" max="12" width="11.85546875" hidden="1" customWidth="1"/>
    <col min="13" max="13" width="11.85546875" customWidth="1"/>
    <col min="14" max="14" width="7.42578125" customWidth="1"/>
    <col min="15" max="15" width="29.85546875" customWidth="1"/>
    <col min="16" max="16" width="51.42578125" customWidth="1"/>
    <col min="17" max="17" width="23.85546875" customWidth="1"/>
    <col min="18" max="18" width="69" customWidth="1"/>
    <col min="19" max="21" width="51.42578125" customWidth="1"/>
    <col min="22" max="22" width="8.7109375" customWidth="1"/>
    <col min="23" max="23" width="33.85546875" customWidth="1"/>
    <col min="24" max="24" width="26.28515625" customWidth="1"/>
    <col min="25" max="25" width="14.5703125" style="438" customWidth="1"/>
  </cols>
  <sheetData>
    <row r="1" spans="1:32" ht="17.45" customHeight="1" x14ac:dyDescent="0.25">
      <c r="A1" s="624" t="s">
        <v>171</v>
      </c>
      <c r="B1" s="624"/>
      <c r="C1" s="624"/>
      <c r="D1" s="23"/>
      <c r="E1" s="23"/>
      <c r="F1" s="23"/>
      <c r="G1" s="565"/>
      <c r="H1" s="565"/>
      <c r="I1" s="565"/>
      <c r="J1" s="565"/>
      <c r="K1" s="565"/>
      <c r="L1" s="565"/>
      <c r="M1" s="565"/>
      <c r="N1" s="565"/>
      <c r="O1" s="565"/>
    </row>
    <row r="2" spans="1:32" x14ac:dyDescent="0.2">
      <c r="A2" s="86"/>
      <c r="B2" s="24"/>
      <c r="C2" s="24"/>
      <c r="D2" s="23"/>
      <c r="E2" s="24"/>
      <c r="F2" s="24"/>
      <c r="G2" s="24"/>
      <c r="H2" s="24"/>
      <c r="I2" s="24"/>
      <c r="J2" s="24"/>
      <c r="K2" s="24"/>
      <c r="L2" s="24"/>
      <c r="M2" s="24"/>
      <c r="N2" s="23"/>
      <c r="O2" s="24"/>
      <c r="AE2" s="7"/>
      <c r="AF2" s="7"/>
    </row>
    <row r="3" spans="1:32" ht="40.700000000000003" customHeight="1" x14ac:dyDescent="0.2">
      <c r="A3" s="449" t="s">
        <v>1151</v>
      </c>
      <c r="B3" s="4" t="s">
        <v>172</v>
      </c>
      <c r="C3" s="4" t="s">
        <v>173</v>
      </c>
      <c r="D3" s="11"/>
      <c r="E3" s="39" t="s">
        <v>174</v>
      </c>
      <c r="F3" s="37" t="s">
        <v>175</v>
      </c>
      <c r="G3" s="37" t="s">
        <v>176</v>
      </c>
      <c r="H3" s="37" t="s">
        <v>177</v>
      </c>
      <c r="I3" s="37" t="s">
        <v>178</v>
      </c>
      <c r="J3" s="37">
        <v>2019</v>
      </c>
      <c r="K3" s="108" t="s">
        <v>179</v>
      </c>
      <c r="L3" s="4" t="s">
        <v>180</v>
      </c>
      <c r="M3" s="37">
        <v>2020</v>
      </c>
      <c r="N3" s="11"/>
      <c r="O3" s="3" t="s">
        <v>181</v>
      </c>
      <c r="P3" s="4" t="s">
        <v>172</v>
      </c>
      <c r="Q3" s="108" t="s">
        <v>182</v>
      </c>
      <c r="R3" s="4" t="s">
        <v>183</v>
      </c>
      <c r="S3" s="4" t="s">
        <v>184</v>
      </c>
      <c r="T3" s="4" t="s">
        <v>185</v>
      </c>
      <c r="U3" s="4" t="s">
        <v>186</v>
      </c>
      <c r="V3" s="55"/>
      <c r="W3" s="38" t="s">
        <v>187</v>
      </c>
      <c r="X3" s="4" t="s">
        <v>188</v>
      </c>
      <c r="Y3" s="437" t="s">
        <v>1152</v>
      </c>
      <c r="Z3" s="4" t="s">
        <v>189</v>
      </c>
      <c r="AA3" s="4" t="s">
        <v>190</v>
      </c>
      <c r="AB3" s="4" t="s">
        <v>191</v>
      </c>
      <c r="AC3" s="26"/>
      <c r="AE3" s="7"/>
    </row>
    <row r="4" spans="1:32" ht="21.6" customHeight="1" x14ac:dyDescent="0.2">
      <c r="A4" s="623" t="s">
        <v>154</v>
      </c>
      <c r="B4" s="92" t="s">
        <v>72</v>
      </c>
      <c r="C4" s="109">
        <f>SUM(C5:C6)</f>
        <v>1018</v>
      </c>
      <c r="D4" s="11"/>
      <c r="E4" s="54" t="s">
        <v>90</v>
      </c>
      <c r="F4" s="110">
        <v>244</v>
      </c>
      <c r="G4" s="111">
        <v>129</v>
      </c>
      <c r="H4" s="111">
        <v>117</v>
      </c>
      <c r="I4" s="111">
        <v>609</v>
      </c>
      <c r="J4" s="111">
        <v>171</v>
      </c>
      <c r="K4" s="112">
        <f>M4-L4</f>
        <v>1211</v>
      </c>
      <c r="L4" s="111">
        <f>SUM(L5:L10)</f>
        <v>14</v>
      </c>
      <c r="M4" s="111">
        <f>C24</f>
        <v>1225</v>
      </c>
      <c r="N4" s="11"/>
      <c r="O4" s="623" t="s">
        <v>154</v>
      </c>
      <c r="P4" s="92" t="s">
        <v>72</v>
      </c>
      <c r="Q4" s="113">
        <f>Q5</f>
        <v>20</v>
      </c>
      <c r="R4" s="92"/>
      <c r="S4" s="92"/>
      <c r="T4" s="92"/>
      <c r="U4" s="92"/>
      <c r="V4" s="55"/>
      <c r="W4" s="625" t="s">
        <v>154</v>
      </c>
      <c r="X4" s="92" t="s">
        <v>72</v>
      </c>
      <c r="Y4" s="446"/>
      <c r="Z4" s="92"/>
      <c r="AA4" s="92"/>
      <c r="AB4" s="92"/>
      <c r="AC4" s="26"/>
      <c r="AE4" s="7"/>
    </row>
    <row r="5" spans="1:32" ht="135.75" customHeight="1" x14ac:dyDescent="0.2">
      <c r="A5" s="623"/>
      <c r="B5" s="97" t="s">
        <v>41</v>
      </c>
      <c r="C5" s="53">
        <v>0</v>
      </c>
      <c r="D5" s="11"/>
      <c r="E5" s="54" t="s">
        <v>192</v>
      </c>
      <c r="F5" s="114">
        <v>0</v>
      </c>
      <c r="G5" s="115">
        <v>0</v>
      </c>
      <c r="H5" s="115">
        <v>0</v>
      </c>
      <c r="I5" s="115">
        <v>0</v>
      </c>
      <c r="J5" s="115">
        <v>1</v>
      </c>
      <c r="K5" s="116">
        <v>0</v>
      </c>
      <c r="L5" s="115">
        <v>0</v>
      </c>
      <c r="M5" s="115">
        <f t="shared" ref="M5:M10" si="0">SUM(K5:L5)</f>
        <v>0</v>
      </c>
      <c r="N5" s="11"/>
      <c r="O5" s="623"/>
      <c r="P5" s="117" t="s">
        <v>158</v>
      </c>
      <c r="Q5" s="41">
        <v>20</v>
      </c>
      <c r="R5" s="46" t="s">
        <v>193</v>
      </c>
      <c r="S5" s="46" t="s">
        <v>194</v>
      </c>
      <c r="T5" s="46" t="s">
        <v>195</v>
      </c>
      <c r="U5" s="46" t="s">
        <v>196</v>
      </c>
      <c r="V5" s="55"/>
      <c r="W5" s="626"/>
      <c r="X5" s="118" t="s">
        <v>41</v>
      </c>
      <c r="Y5" s="118"/>
      <c r="Z5" s="48"/>
      <c r="AA5" s="48" t="s">
        <v>197</v>
      </c>
      <c r="AB5" s="48"/>
      <c r="AC5" s="26"/>
      <c r="AD5" s="7"/>
    </row>
    <row r="6" spans="1:32" ht="21.6" customHeight="1" x14ac:dyDescent="0.2">
      <c r="A6" s="623"/>
      <c r="B6" s="97" t="s">
        <v>198</v>
      </c>
      <c r="C6" s="53">
        <v>1018</v>
      </c>
      <c r="D6" s="11"/>
      <c r="E6" s="54" t="s">
        <v>199</v>
      </c>
      <c r="F6" s="114">
        <v>1</v>
      </c>
      <c r="G6" s="115">
        <v>0</v>
      </c>
      <c r="H6" s="115">
        <v>0</v>
      </c>
      <c r="I6" s="115">
        <v>0</v>
      </c>
      <c r="J6" s="115">
        <v>0</v>
      </c>
      <c r="K6" s="116">
        <v>0</v>
      </c>
      <c r="L6" s="115">
        <v>0</v>
      </c>
      <c r="M6" s="115">
        <f t="shared" si="0"/>
        <v>0</v>
      </c>
      <c r="N6" s="11"/>
      <c r="O6" s="623" t="s">
        <v>166</v>
      </c>
      <c r="P6" s="92" t="s">
        <v>94</v>
      </c>
      <c r="Q6" s="113">
        <f>Q7</f>
        <v>14</v>
      </c>
      <c r="R6" s="92"/>
      <c r="S6" s="92"/>
      <c r="T6" s="92"/>
      <c r="U6" s="92"/>
      <c r="V6" s="55"/>
      <c r="W6" s="622"/>
      <c r="X6" s="117" t="s">
        <v>158</v>
      </c>
      <c r="Y6" s="117"/>
      <c r="Z6" s="119"/>
      <c r="AA6" s="119" t="s">
        <v>197</v>
      </c>
      <c r="AB6" s="119"/>
      <c r="AC6" s="26"/>
    </row>
    <row r="7" spans="1:32" ht="142.5" customHeight="1" x14ac:dyDescent="0.2">
      <c r="A7" s="623" t="s">
        <v>160</v>
      </c>
      <c r="B7" s="92" t="s">
        <v>79</v>
      </c>
      <c r="C7" s="109">
        <f>C8</f>
        <v>9</v>
      </c>
      <c r="D7" s="11"/>
      <c r="E7" s="54" t="s">
        <v>200</v>
      </c>
      <c r="F7" s="114">
        <v>0</v>
      </c>
      <c r="G7" s="115">
        <v>0</v>
      </c>
      <c r="H7" s="115">
        <v>0</v>
      </c>
      <c r="I7" s="115">
        <v>2</v>
      </c>
      <c r="J7" s="115">
        <v>3</v>
      </c>
      <c r="K7" s="116">
        <v>0</v>
      </c>
      <c r="L7" s="115">
        <v>0</v>
      </c>
      <c r="M7" s="115">
        <f t="shared" si="0"/>
        <v>0</v>
      </c>
      <c r="N7" s="11"/>
      <c r="O7" s="623"/>
      <c r="P7" s="97" t="s">
        <v>167</v>
      </c>
      <c r="Q7" s="41">
        <v>14</v>
      </c>
      <c r="R7" s="46" t="s">
        <v>201</v>
      </c>
      <c r="S7" s="46" t="s">
        <v>202</v>
      </c>
      <c r="T7" s="46" t="s">
        <v>203</v>
      </c>
      <c r="U7" s="46" t="s">
        <v>204</v>
      </c>
      <c r="V7" s="55"/>
      <c r="W7" s="625" t="s">
        <v>160</v>
      </c>
      <c r="X7" s="92" t="s">
        <v>79</v>
      </c>
      <c r="Y7" s="446"/>
      <c r="Z7" s="94"/>
      <c r="AA7" s="94"/>
      <c r="AB7" s="94"/>
      <c r="AC7" s="26"/>
    </row>
    <row r="8" spans="1:32" ht="21.6" customHeight="1" x14ac:dyDescent="0.2">
      <c r="A8" s="623"/>
      <c r="B8" s="97" t="s">
        <v>19</v>
      </c>
      <c r="C8" s="53">
        <v>9</v>
      </c>
      <c r="D8" s="11"/>
      <c r="E8" s="54" t="s">
        <v>205</v>
      </c>
      <c r="F8" s="114">
        <v>3</v>
      </c>
      <c r="G8" s="115">
        <v>1</v>
      </c>
      <c r="H8" s="115">
        <v>2</v>
      </c>
      <c r="I8" s="115">
        <v>1</v>
      </c>
      <c r="J8" s="115">
        <v>3</v>
      </c>
      <c r="K8" s="116">
        <v>3</v>
      </c>
      <c r="L8" s="115">
        <v>0</v>
      </c>
      <c r="M8" s="115">
        <f t="shared" si="0"/>
        <v>3</v>
      </c>
      <c r="N8" s="11"/>
      <c r="O8" s="623"/>
      <c r="P8" s="92" t="s">
        <v>97</v>
      </c>
      <c r="Q8" s="113">
        <f>Q9</f>
        <v>37</v>
      </c>
      <c r="R8" s="92"/>
      <c r="S8" s="92"/>
      <c r="T8" s="92"/>
      <c r="U8" s="92"/>
      <c r="V8" s="55"/>
      <c r="W8" s="626"/>
      <c r="X8" s="118" t="s">
        <v>19</v>
      </c>
      <c r="Y8" s="118"/>
      <c r="Z8" s="48"/>
      <c r="AA8" s="48" t="s">
        <v>197</v>
      </c>
      <c r="AB8" s="48"/>
      <c r="AC8" s="26"/>
      <c r="AD8" s="7"/>
    </row>
    <row r="9" spans="1:32" ht="181.5" customHeight="1" x14ac:dyDescent="0.2">
      <c r="A9" s="623"/>
      <c r="B9" s="92" t="s">
        <v>82</v>
      </c>
      <c r="C9" s="109">
        <f>SUM(C10:C12)</f>
        <v>11</v>
      </c>
      <c r="D9" s="11"/>
      <c r="E9" s="54" t="s">
        <v>206</v>
      </c>
      <c r="F9" s="114">
        <v>240</v>
      </c>
      <c r="G9" s="115">
        <v>128</v>
      </c>
      <c r="H9" s="115">
        <v>110</v>
      </c>
      <c r="I9" s="115">
        <v>84</v>
      </c>
      <c r="J9" s="115">
        <v>74</v>
      </c>
      <c r="K9" s="116">
        <v>1071</v>
      </c>
      <c r="L9" s="115">
        <v>6</v>
      </c>
      <c r="M9" s="115">
        <f t="shared" si="0"/>
        <v>1077</v>
      </c>
      <c r="N9" s="11"/>
      <c r="O9" s="623"/>
      <c r="P9" s="97" t="s">
        <v>20</v>
      </c>
      <c r="Q9" s="41">
        <v>37</v>
      </c>
      <c r="R9" s="46" t="s">
        <v>207</v>
      </c>
      <c r="S9" s="46" t="s">
        <v>208</v>
      </c>
      <c r="T9" s="46" t="s">
        <v>209</v>
      </c>
      <c r="U9" s="46" t="s">
        <v>210</v>
      </c>
      <c r="V9" s="55"/>
      <c r="W9" s="626"/>
      <c r="X9" s="92" t="s">
        <v>82</v>
      </c>
      <c r="Y9" s="446"/>
      <c r="Z9" s="94"/>
      <c r="AA9" s="94"/>
      <c r="AB9" s="94"/>
      <c r="AC9" s="26"/>
    </row>
    <row r="10" spans="1:32" ht="21.6" customHeight="1" x14ac:dyDescent="0.2">
      <c r="A10" s="623"/>
      <c r="B10" s="97" t="s">
        <v>163</v>
      </c>
      <c r="C10" s="53">
        <v>5</v>
      </c>
      <c r="D10" s="11"/>
      <c r="E10" s="54" t="s">
        <v>211</v>
      </c>
      <c r="F10" s="114">
        <v>0</v>
      </c>
      <c r="G10" s="115">
        <v>0</v>
      </c>
      <c r="H10" s="115">
        <v>5</v>
      </c>
      <c r="I10" s="115">
        <v>522</v>
      </c>
      <c r="J10" s="115">
        <v>90</v>
      </c>
      <c r="K10" s="116">
        <f>K4-K8-K9</f>
        <v>137</v>
      </c>
      <c r="L10" s="115">
        <v>8</v>
      </c>
      <c r="M10" s="115">
        <f t="shared" si="0"/>
        <v>145</v>
      </c>
      <c r="N10" s="11"/>
      <c r="O10" s="623" t="s">
        <v>168</v>
      </c>
      <c r="P10" s="92" t="s">
        <v>76</v>
      </c>
      <c r="Q10" s="113">
        <f>SUM(Q11:Q12)</f>
        <v>135.94999999999999</v>
      </c>
      <c r="R10" s="92"/>
      <c r="S10" s="92"/>
      <c r="T10" s="92"/>
      <c r="U10" s="92"/>
      <c r="V10" s="55"/>
      <c r="W10" s="626"/>
      <c r="X10" s="118" t="s">
        <v>163</v>
      </c>
      <c r="Y10" s="118"/>
      <c r="Z10" s="48"/>
      <c r="AA10" s="48" t="s">
        <v>197</v>
      </c>
      <c r="AB10" s="48"/>
      <c r="AC10" s="26"/>
    </row>
    <row r="11" spans="1:32" ht="211.5" customHeight="1" x14ac:dyDescent="0.2">
      <c r="A11" s="623"/>
      <c r="B11" s="97" t="s">
        <v>164</v>
      </c>
      <c r="C11" s="53">
        <v>4</v>
      </c>
      <c r="D11" s="57"/>
      <c r="E11" s="563" t="s">
        <v>212</v>
      </c>
      <c r="F11" s="563"/>
      <c r="G11" s="563"/>
      <c r="H11" s="563"/>
      <c r="I11" s="563"/>
      <c r="J11" s="563"/>
      <c r="K11" s="563"/>
      <c r="L11" s="563"/>
      <c r="M11" s="563"/>
      <c r="N11" s="16"/>
      <c r="O11" s="623"/>
      <c r="P11" s="118" t="s">
        <v>169</v>
      </c>
      <c r="Q11" s="41">
        <v>92</v>
      </c>
      <c r="R11" s="46" t="s">
        <v>213</v>
      </c>
      <c r="S11" s="46" t="s">
        <v>214</v>
      </c>
      <c r="T11" s="46" t="s">
        <v>215</v>
      </c>
      <c r="U11" s="46" t="s">
        <v>216</v>
      </c>
      <c r="V11" s="55"/>
      <c r="W11" s="626"/>
      <c r="X11" s="118" t="s">
        <v>164</v>
      </c>
      <c r="Y11" s="118"/>
      <c r="Z11" s="48" t="s">
        <v>197</v>
      </c>
      <c r="AA11" s="48"/>
      <c r="AB11" s="48"/>
      <c r="AC11" s="26"/>
    </row>
    <row r="12" spans="1:32" ht="126" customHeight="1" x14ac:dyDescent="0.2">
      <c r="A12" s="623"/>
      <c r="B12" s="97" t="s">
        <v>29</v>
      </c>
      <c r="C12" s="53">
        <v>2</v>
      </c>
      <c r="D12" s="57"/>
      <c r="E12" s="564"/>
      <c r="F12" s="564"/>
      <c r="G12" s="564"/>
      <c r="H12" s="564"/>
      <c r="I12" s="564"/>
      <c r="J12" s="564"/>
      <c r="K12" s="564"/>
      <c r="L12" s="564"/>
      <c r="M12" s="564"/>
      <c r="N12" s="16"/>
      <c r="O12" s="623"/>
      <c r="P12" s="118" t="s">
        <v>14</v>
      </c>
      <c r="Q12" s="41">
        <v>43.95</v>
      </c>
      <c r="R12" s="46" t="s">
        <v>217</v>
      </c>
      <c r="S12" s="46" t="s">
        <v>218</v>
      </c>
      <c r="T12" s="46" t="s">
        <v>219</v>
      </c>
      <c r="U12" s="46" t="s">
        <v>220</v>
      </c>
      <c r="V12" s="55"/>
      <c r="W12" s="626"/>
      <c r="X12" s="118" t="s">
        <v>29</v>
      </c>
      <c r="Y12" s="118"/>
      <c r="Z12" s="48"/>
      <c r="AA12" s="48" t="s">
        <v>197</v>
      </c>
      <c r="AB12" s="48"/>
      <c r="AC12" s="26"/>
    </row>
    <row r="13" spans="1:32" ht="39.200000000000003" customHeight="1" x14ac:dyDescent="0.2">
      <c r="A13" s="623"/>
      <c r="B13" s="92" t="s">
        <v>86</v>
      </c>
      <c r="C13" s="109">
        <f>C14</f>
        <v>3</v>
      </c>
      <c r="D13" s="57"/>
      <c r="E13" s="564"/>
      <c r="F13" s="564"/>
      <c r="G13" s="564"/>
      <c r="H13" s="564"/>
      <c r="I13" s="564"/>
      <c r="J13" s="564"/>
      <c r="K13" s="564"/>
      <c r="L13" s="564"/>
      <c r="M13" s="564"/>
      <c r="N13" s="23"/>
      <c r="O13" s="563" t="s">
        <v>221</v>
      </c>
      <c r="P13" s="563"/>
      <c r="Q13" s="563"/>
      <c r="R13" s="563"/>
      <c r="S13" s="563"/>
      <c r="T13" s="563"/>
      <c r="U13" s="563"/>
      <c r="V13" s="85"/>
      <c r="W13" s="626"/>
      <c r="X13" s="92" t="s">
        <v>86</v>
      </c>
      <c r="Y13" s="446"/>
      <c r="Z13" s="94"/>
      <c r="AA13" s="94"/>
      <c r="AB13" s="94"/>
      <c r="AC13" s="26"/>
    </row>
    <row r="14" spans="1:32" ht="21.6" customHeight="1" x14ac:dyDescent="0.2">
      <c r="A14" s="623"/>
      <c r="B14" s="97" t="s">
        <v>25</v>
      </c>
      <c r="C14" s="53">
        <v>3</v>
      </c>
      <c r="D14" s="57"/>
      <c r="E14" s="564"/>
      <c r="F14" s="564"/>
      <c r="G14" s="564"/>
      <c r="H14" s="564"/>
      <c r="I14" s="564"/>
      <c r="J14" s="564"/>
      <c r="K14" s="564"/>
      <c r="L14" s="564"/>
      <c r="M14" s="564"/>
      <c r="N14" s="23"/>
      <c r="O14" s="30"/>
      <c r="P14" s="30"/>
      <c r="Q14" s="30"/>
      <c r="R14" s="30"/>
      <c r="S14" s="30"/>
      <c r="T14" s="30"/>
      <c r="U14" s="30"/>
      <c r="W14" s="622"/>
      <c r="X14" s="97" t="s">
        <v>25</v>
      </c>
      <c r="Y14" s="97"/>
      <c r="Z14" s="48"/>
      <c r="AA14" s="48" t="s">
        <v>197</v>
      </c>
      <c r="AB14" s="48"/>
      <c r="AC14" s="26"/>
    </row>
    <row r="15" spans="1:32" ht="21.6" customHeight="1" x14ac:dyDescent="0.2">
      <c r="A15" s="623" t="s">
        <v>166</v>
      </c>
      <c r="B15" s="92" t="s">
        <v>89</v>
      </c>
      <c r="C15" s="109">
        <f>C16</f>
        <v>0</v>
      </c>
      <c r="D15" s="57"/>
      <c r="E15" s="23"/>
      <c r="F15" s="23"/>
      <c r="G15" s="23"/>
      <c r="H15" s="23"/>
      <c r="I15" s="23"/>
      <c r="J15" s="23"/>
      <c r="K15" s="23"/>
      <c r="L15" s="23"/>
      <c r="M15" s="23"/>
      <c r="N15" s="23"/>
      <c r="O15" s="23"/>
      <c r="W15" s="625" t="s">
        <v>166</v>
      </c>
      <c r="X15" s="92" t="s">
        <v>89</v>
      </c>
      <c r="Y15" s="446"/>
      <c r="Z15" s="94"/>
      <c r="AA15" s="94"/>
      <c r="AB15" s="94"/>
      <c r="AC15" s="26"/>
    </row>
    <row r="16" spans="1:32" ht="21.6" customHeight="1" x14ac:dyDescent="0.2">
      <c r="A16" s="623"/>
      <c r="B16" s="97" t="s">
        <v>11</v>
      </c>
      <c r="C16" s="53">
        <v>0</v>
      </c>
      <c r="D16" s="57"/>
      <c r="E16" s="23"/>
      <c r="F16" s="23"/>
      <c r="G16" s="23"/>
      <c r="H16" s="23"/>
      <c r="I16" s="23"/>
      <c r="J16" s="23"/>
      <c r="K16" s="23"/>
      <c r="L16" s="23"/>
      <c r="M16" s="23"/>
      <c r="N16" s="23"/>
      <c r="O16" s="23"/>
      <c r="P16" s="7"/>
      <c r="W16" s="626"/>
      <c r="X16" s="97" t="s">
        <v>11</v>
      </c>
      <c r="Y16" s="97"/>
      <c r="Z16" s="48" t="s">
        <v>197</v>
      </c>
      <c r="AA16" s="48"/>
      <c r="AB16" s="48"/>
      <c r="AC16" s="26"/>
    </row>
    <row r="17" spans="1:29" ht="21.6" customHeight="1" x14ac:dyDescent="0.2">
      <c r="A17" s="623"/>
      <c r="B17" s="92" t="s">
        <v>94</v>
      </c>
      <c r="C17" s="109">
        <f>C18</f>
        <v>114</v>
      </c>
      <c r="D17" s="57"/>
      <c r="E17" s="34"/>
      <c r="F17" s="34"/>
      <c r="G17" s="23"/>
      <c r="H17" s="23"/>
      <c r="I17" s="23"/>
      <c r="J17" s="23"/>
      <c r="K17" s="23"/>
      <c r="L17" s="23"/>
      <c r="M17" s="23"/>
      <c r="N17" s="23"/>
      <c r="O17" s="23"/>
      <c r="P17" s="7"/>
      <c r="W17" s="626"/>
      <c r="X17" s="92" t="s">
        <v>94</v>
      </c>
      <c r="Y17" s="446"/>
      <c r="Z17" s="94"/>
      <c r="AA17" s="94"/>
      <c r="AB17" s="94"/>
      <c r="AC17" s="26"/>
    </row>
    <row r="18" spans="1:29" ht="21.6" customHeight="1" x14ac:dyDescent="0.2">
      <c r="A18" s="623"/>
      <c r="B18" s="97" t="s">
        <v>222</v>
      </c>
      <c r="C18" s="53">
        <v>114</v>
      </c>
      <c r="D18" s="57"/>
      <c r="E18" s="23"/>
      <c r="F18" s="23"/>
      <c r="G18" s="23"/>
      <c r="H18" s="23"/>
      <c r="I18" s="23"/>
      <c r="J18" s="23"/>
      <c r="K18" s="23"/>
      <c r="L18" s="23"/>
      <c r="M18" s="23"/>
      <c r="N18" s="23"/>
      <c r="O18" s="23"/>
      <c r="W18" s="626"/>
      <c r="X18" s="97" t="s">
        <v>167</v>
      </c>
      <c r="Y18" s="466" t="s">
        <v>197</v>
      </c>
      <c r="Z18" s="48"/>
      <c r="AA18" s="48"/>
      <c r="AB18" s="48"/>
      <c r="AC18" s="26"/>
    </row>
    <row r="19" spans="1:29" ht="21.6" customHeight="1" x14ac:dyDescent="0.2">
      <c r="A19" s="623"/>
      <c r="B19" s="92" t="s">
        <v>97</v>
      </c>
      <c r="C19" s="109">
        <f>C20</f>
        <v>1</v>
      </c>
      <c r="D19" s="57"/>
      <c r="E19" s="23"/>
      <c r="F19" s="23"/>
      <c r="G19" s="23"/>
      <c r="H19" s="23"/>
      <c r="I19" s="23"/>
      <c r="J19" s="23"/>
      <c r="K19" s="23"/>
      <c r="L19" s="23"/>
      <c r="M19" s="23"/>
      <c r="N19" s="23"/>
      <c r="O19" s="23"/>
      <c r="W19" s="626"/>
      <c r="X19" s="92" t="s">
        <v>97</v>
      </c>
      <c r="Y19" s="446"/>
      <c r="Z19" s="94"/>
      <c r="AA19" s="94"/>
      <c r="AB19" s="94"/>
      <c r="AC19" s="26"/>
    </row>
    <row r="20" spans="1:29" ht="21.6" customHeight="1" x14ac:dyDescent="0.2">
      <c r="A20" s="623"/>
      <c r="B20" s="97" t="s">
        <v>20</v>
      </c>
      <c r="C20" s="53">
        <v>1</v>
      </c>
      <c r="D20" s="57"/>
      <c r="E20" s="23"/>
      <c r="F20" s="23"/>
      <c r="G20" s="23"/>
      <c r="H20" s="23"/>
      <c r="I20" s="23"/>
      <c r="J20" s="23"/>
      <c r="K20" s="23"/>
      <c r="L20" s="23"/>
      <c r="M20" s="23"/>
      <c r="N20" s="23"/>
      <c r="O20" s="23"/>
      <c r="W20" s="622"/>
      <c r="X20" s="97" t="s">
        <v>20</v>
      </c>
      <c r="Y20" s="97"/>
      <c r="Z20" s="48"/>
      <c r="AA20" s="48"/>
      <c r="AB20" s="48" t="s">
        <v>197</v>
      </c>
      <c r="AC20" s="26"/>
    </row>
    <row r="21" spans="1:29" ht="21.6" customHeight="1" x14ac:dyDescent="0.2">
      <c r="A21" s="623" t="s">
        <v>168</v>
      </c>
      <c r="B21" s="92" t="s">
        <v>76</v>
      </c>
      <c r="C21" s="109">
        <f>SUM(C22:C23)</f>
        <v>69</v>
      </c>
      <c r="D21" s="57"/>
      <c r="E21" s="23"/>
      <c r="F21" s="23"/>
      <c r="G21" s="34"/>
      <c r="H21" s="23"/>
      <c r="I21" s="23"/>
      <c r="J21" s="23"/>
      <c r="K21" s="23"/>
      <c r="L21" s="23"/>
      <c r="M21" s="23"/>
      <c r="N21" s="23"/>
      <c r="O21" s="23"/>
      <c r="W21" s="625" t="s">
        <v>168</v>
      </c>
      <c r="X21" s="92" t="s">
        <v>76</v>
      </c>
      <c r="Y21" s="446"/>
      <c r="Z21" s="94"/>
      <c r="AA21" s="94"/>
      <c r="AB21" s="94"/>
      <c r="AC21" s="26"/>
    </row>
    <row r="22" spans="1:29" ht="21.6" customHeight="1" x14ac:dyDescent="0.2">
      <c r="A22" s="623"/>
      <c r="B22" s="97" t="s">
        <v>169</v>
      </c>
      <c r="C22" s="53">
        <v>57</v>
      </c>
      <c r="D22" s="57"/>
      <c r="E22" s="23"/>
      <c r="F22" s="23"/>
      <c r="G22" s="34"/>
      <c r="H22" s="23"/>
      <c r="I22" s="23"/>
      <c r="J22" s="23"/>
      <c r="K22" s="23"/>
      <c r="L22" s="23"/>
      <c r="M22" s="23"/>
      <c r="N22" s="23"/>
      <c r="O22" s="23"/>
      <c r="W22" s="626"/>
      <c r="X22" s="118" t="s">
        <v>169</v>
      </c>
      <c r="Y22" s="118"/>
      <c r="Z22" s="48"/>
      <c r="AA22" s="48" t="s">
        <v>197</v>
      </c>
      <c r="AB22" s="48"/>
      <c r="AC22" s="26"/>
    </row>
    <row r="23" spans="1:29" ht="21.6" customHeight="1" x14ac:dyDescent="0.2">
      <c r="A23" s="623"/>
      <c r="B23" s="97" t="s">
        <v>14</v>
      </c>
      <c r="C23" s="53">
        <v>12</v>
      </c>
      <c r="D23" s="57"/>
      <c r="E23" s="23"/>
      <c r="F23" s="23"/>
      <c r="G23" s="23"/>
      <c r="H23" s="23"/>
      <c r="I23" s="23"/>
      <c r="J23" s="23"/>
      <c r="K23" s="23"/>
      <c r="L23" s="23"/>
      <c r="M23" s="23"/>
      <c r="N23" s="23"/>
      <c r="O23" s="23"/>
      <c r="W23" s="622"/>
      <c r="X23" s="118" t="s">
        <v>14</v>
      </c>
      <c r="Y23" s="118"/>
      <c r="Z23" s="48"/>
      <c r="AA23" s="48" t="s">
        <v>197</v>
      </c>
      <c r="AB23" s="48"/>
      <c r="AC23" s="26"/>
    </row>
    <row r="24" spans="1:29" ht="21.6" customHeight="1" x14ac:dyDescent="0.2">
      <c r="A24" s="42" t="s">
        <v>224</v>
      </c>
      <c r="B24" s="120" t="s">
        <v>90</v>
      </c>
      <c r="C24" s="109">
        <f>SUM(C4,C7,C9,C13,C15,C17,C19,C21)</f>
        <v>1225</v>
      </c>
      <c r="D24" s="57"/>
      <c r="E24" s="23"/>
      <c r="F24" s="23"/>
      <c r="G24" s="23"/>
      <c r="H24" s="23"/>
      <c r="I24" s="23"/>
      <c r="J24" s="23"/>
      <c r="K24" s="23"/>
      <c r="L24" s="23"/>
      <c r="M24" s="23"/>
      <c r="N24" s="23"/>
      <c r="O24" s="23"/>
      <c r="W24" s="42" t="s">
        <v>170</v>
      </c>
      <c r="X24" s="120" t="s">
        <v>90</v>
      </c>
      <c r="Y24" s="516">
        <v>8.3000000000000004E-2</v>
      </c>
      <c r="Z24" s="121">
        <v>0.16669999999999999</v>
      </c>
      <c r="AA24" s="121">
        <f>8/12</f>
        <v>0.66666666666666663</v>
      </c>
      <c r="AB24" s="121">
        <f>1/12</f>
        <v>8.3333333333333329E-2</v>
      </c>
      <c r="AC24" s="26"/>
    </row>
    <row r="25" spans="1:29" ht="36.6" customHeight="1" x14ac:dyDescent="0.2">
      <c r="A25" s="627" t="s">
        <v>225</v>
      </c>
      <c r="B25" s="627"/>
      <c r="C25" s="627"/>
      <c r="D25" s="23"/>
      <c r="E25" s="23"/>
      <c r="F25" s="23"/>
      <c r="G25" s="23"/>
      <c r="H25" s="23"/>
      <c r="I25" s="23"/>
      <c r="J25" s="23"/>
      <c r="K25" s="23"/>
      <c r="L25" s="23"/>
      <c r="M25" s="23"/>
      <c r="N25" s="23"/>
      <c r="O25" s="23"/>
      <c r="W25" s="629" t="s">
        <v>1153</v>
      </c>
      <c r="X25" s="629"/>
      <c r="Y25" s="629"/>
      <c r="Z25" s="629"/>
      <c r="AA25" s="629"/>
      <c r="AB25" s="629"/>
    </row>
    <row r="26" spans="1:29" ht="36.6" customHeight="1" x14ac:dyDescent="0.2">
      <c r="A26" s="613"/>
      <c r="B26" s="628"/>
      <c r="C26" s="628"/>
      <c r="D26" s="34"/>
      <c r="E26" s="23"/>
      <c r="F26" s="34"/>
      <c r="G26" s="23"/>
      <c r="H26" s="23"/>
      <c r="I26" s="23"/>
      <c r="J26" s="23"/>
      <c r="K26" s="23"/>
      <c r="L26" s="23"/>
      <c r="M26" s="23"/>
      <c r="N26" s="23"/>
      <c r="O26" s="23"/>
      <c r="W26" s="630"/>
      <c r="X26" s="630"/>
      <c r="Y26" s="630"/>
      <c r="Z26" s="630"/>
      <c r="AA26" s="631"/>
      <c r="AB26" s="631"/>
    </row>
    <row r="27" spans="1:29" ht="116.65" customHeight="1" x14ac:dyDescent="0.2">
      <c r="A27" s="7"/>
      <c r="B27" s="7"/>
      <c r="C27" s="7"/>
      <c r="D27" s="23"/>
      <c r="E27" s="7"/>
      <c r="F27" s="7"/>
      <c r="G27" s="7"/>
      <c r="H27" s="23"/>
      <c r="I27" s="23"/>
      <c r="J27" s="23"/>
      <c r="K27" s="23"/>
      <c r="L27" s="23"/>
      <c r="M27" s="23"/>
      <c r="N27" s="23"/>
      <c r="O27" s="23"/>
      <c r="W27" s="7"/>
      <c r="X27" s="7"/>
      <c r="Y27" s="439"/>
      <c r="Z27" s="7"/>
    </row>
    <row r="28" spans="1:29" ht="66.599999999999994" customHeight="1" x14ac:dyDescent="0.2">
      <c r="A28" s="7"/>
      <c r="B28" s="7"/>
      <c r="C28" s="7"/>
      <c r="D28" s="33"/>
      <c r="E28" s="7"/>
      <c r="F28" s="7"/>
      <c r="G28" s="7"/>
      <c r="H28" s="23"/>
      <c r="I28" s="23"/>
      <c r="J28" s="23"/>
      <c r="K28" s="23"/>
      <c r="L28" s="23"/>
      <c r="M28" s="23"/>
      <c r="N28" s="23"/>
      <c r="O28" s="23"/>
    </row>
    <row r="29" spans="1:29" ht="29.1" customHeight="1" x14ac:dyDescent="0.2">
      <c r="A29" s="7"/>
      <c r="B29" s="7"/>
      <c r="C29" s="7"/>
      <c r="D29" s="7"/>
      <c r="E29" s="7"/>
      <c r="F29" s="7"/>
      <c r="H29" s="23"/>
      <c r="I29" s="23"/>
      <c r="J29" s="23"/>
      <c r="K29" s="23"/>
      <c r="L29" s="23"/>
      <c r="M29" s="23"/>
      <c r="N29" s="23"/>
      <c r="O29" s="23"/>
    </row>
    <row r="30" spans="1:29" ht="21.6" customHeight="1" x14ac:dyDescent="0.2">
      <c r="A30" s="7"/>
      <c r="B30" s="7"/>
      <c r="C30" s="7"/>
      <c r="D30" s="7"/>
      <c r="E30" s="7"/>
      <c r="F30" s="7"/>
      <c r="H30" s="23"/>
      <c r="I30" s="23"/>
      <c r="J30" s="23"/>
      <c r="K30" s="23"/>
      <c r="L30" s="23"/>
      <c r="M30" s="23"/>
      <c r="N30" s="23"/>
      <c r="O30" s="23"/>
    </row>
    <row r="31" spans="1:29" ht="21.6" customHeight="1" x14ac:dyDescent="0.2">
      <c r="A31" s="7"/>
      <c r="B31" s="7"/>
      <c r="C31" s="7"/>
      <c r="D31" s="7"/>
      <c r="E31" s="7"/>
      <c r="F31" s="7"/>
      <c r="H31" s="23"/>
      <c r="I31" s="23"/>
      <c r="J31" s="23"/>
      <c r="K31" s="23"/>
      <c r="L31" s="23"/>
      <c r="M31" s="23"/>
      <c r="N31" s="23"/>
      <c r="O31" s="23"/>
    </row>
    <row r="32" spans="1:29" ht="21.6" customHeight="1" x14ac:dyDescent="0.2">
      <c r="A32" s="7"/>
      <c r="B32" s="7"/>
      <c r="C32" s="7"/>
      <c r="D32" s="7"/>
      <c r="E32" s="7"/>
      <c r="F32" s="7"/>
      <c r="H32" s="23"/>
      <c r="I32" s="23"/>
      <c r="J32" s="23"/>
      <c r="K32" s="23"/>
      <c r="L32" s="23"/>
      <c r="M32" s="23"/>
      <c r="N32" s="23"/>
      <c r="O32" s="23"/>
    </row>
    <row r="33" spans="1:15" ht="21.6" customHeight="1" x14ac:dyDescent="0.2">
      <c r="A33" s="7"/>
      <c r="D33" s="7"/>
      <c r="E33" s="7"/>
      <c r="F33" s="7"/>
      <c r="H33" s="23"/>
      <c r="I33" s="23"/>
      <c r="J33" s="23"/>
      <c r="K33" s="23"/>
      <c r="L33" s="23"/>
      <c r="M33" s="23"/>
      <c r="N33" s="23"/>
      <c r="O33" s="23"/>
    </row>
    <row r="34" spans="1:15" ht="21.6" customHeight="1" x14ac:dyDescent="0.2">
      <c r="A34" s="7"/>
      <c r="B34" s="123"/>
      <c r="C34" s="23"/>
      <c r="D34" s="7"/>
      <c r="E34" s="7"/>
      <c r="F34" s="7"/>
      <c r="H34" s="23"/>
      <c r="I34" s="23"/>
      <c r="J34" s="23"/>
      <c r="K34" s="23"/>
      <c r="L34" s="23"/>
      <c r="M34" s="23"/>
      <c r="N34" s="23"/>
      <c r="O34" s="23"/>
    </row>
    <row r="35" spans="1:15" ht="21.6" customHeight="1" x14ac:dyDescent="0.2">
      <c r="A35" s="7"/>
      <c r="B35" s="7"/>
      <c r="C35" s="7"/>
      <c r="D35" s="7"/>
      <c r="H35" s="23"/>
      <c r="I35" s="23"/>
      <c r="J35" s="23"/>
      <c r="K35" s="23"/>
      <c r="L35" s="23"/>
      <c r="M35" s="23"/>
      <c r="N35" s="23"/>
      <c r="O35" s="23"/>
    </row>
    <row r="36" spans="1:15" ht="21.6" customHeight="1" x14ac:dyDescent="0.2">
      <c r="A36" s="23"/>
      <c r="B36" s="7"/>
      <c r="C36" s="7"/>
      <c r="D36" s="7"/>
      <c r="E36" s="23"/>
      <c r="F36" s="23"/>
      <c r="G36" s="23"/>
      <c r="H36" s="23"/>
      <c r="I36" s="23"/>
      <c r="J36" s="23"/>
      <c r="K36" s="23"/>
      <c r="L36" s="23"/>
      <c r="M36" s="23"/>
      <c r="N36" s="23"/>
      <c r="O36" s="23"/>
    </row>
    <row r="37" spans="1:15" ht="59.1" customHeight="1" x14ac:dyDescent="0.2">
      <c r="A37" s="7"/>
      <c r="B37" s="7"/>
      <c r="C37" s="7"/>
      <c r="E37" s="7"/>
      <c r="F37" s="34"/>
      <c r="G37" s="34"/>
      <c r="H37" s="34"/>
      <c r="I37" s="23"/>
      <c r="J37" s="23"/>
      <c r="K37" s="23"/>
      <c r="L37" s="23"/>
      <c r="M37" s="23"/>
      <c r="N37" s="23"/>
      <c r="O37" s="23"/>
    </row>
    <row r="38" spans="1:15" ht="66.599999999999994" customHeight="1" x14ac:dyDescent="0.2">
      <c r="A38" s="7"/>
      <c r="B38" s="7"/>
      <c r="C38" s="7"/>
      <c r="D38" s="23"/>
      <c r="E38" s="7"/>
      <c r="F38" s="34"/>
      <c r="G38" s="34"/>
      <c r="H38" s="34"/>
      <c r="I38" s="23"/>
      <c r="J38" s="23"/>
      <c r="K38" s="23"/>
      <c r="L38" s="23"/>
      <c r="M38" s="23"/>
      <c r="N38" s="23"/>
      <c r="O38" s="23"/>
    </row>
    <row r="39" spans="1:15" ht="55.7" customHeight="1" x14ac:dyDescent="0.2">
      <c r="A39" s="7"/>
      <c r="B39" s="7"/>
      <c r="C39" s="7"/>
      <c r="D39" s="7"/>
      <c r="E39" s="7"/>
      <c r="F39" s="34"/>
      <c r="G39" s="34"/>
      <c r="H39" s="34"/>
      <c r="I39" s="23"/>
      <c r="J39" s="23"/>
      <c r="K39" s="23"/>
      <c r="L39" s="23"/>
      <c r="M39" s="23"/>
      <c r="N39" s="23"/>
      <c r="O39" s="23"/>
    </row>
    <row r="40" spans="1:15" ht="148.35" customHeight="1" x14ac:dyDescent="0.2">
      <c r="A40" s="7"/>
      <c r="D40" s="7"/>
      <c r="E40" s="7"/>
      <c r="F40" s="34"/>
      <c r="G40" s="34"/>
      <c r="H40" s="34"/>
      <c r="I40" s="23"/>
      <c r="J40" s="23"/>
      <c r="K40" s="23"/>
      <c r="L40" s="23"/>
      <c r="M40" s="23"/>
      <c r="N40" s="23"/>
      <c r="O40" s="23"/>
    </row>
    <row r="41" spans="1:15" ht="84.95" customHeight="1" x14ac:dyDescent="0.2">
      <c r="A41" s="7"/>
      <c r="B41" s="23"/>
      <c r="C41" s="23"/>
      <c r="D41" s="7"/>
      <c r="E41" s="7"/>
      <c r="F41" s="34"/>
      <c r="G41" s="34"/>
      <c r="H41" s="34"/>
      <c r="I41" s="23"/>
      <c r="J41" s="23"/>
      <c r="K41" s="23"/>
      <c r="L41" s="23"/>
      <c r="M41" s="23"/>
      <c r="N41" s="23"/>
      <c r="O41" s="23"/>
    </row>
    <row r="42" spans="1:15" ht="121.7" customHeight="1" x14ac:dyDescent="0.2">
      <c r="A42" s="7"/>
      <c r="B42" s="23"/>
      <c r="C42" s="23"/>
      <c r="D42" s="7"/>
      <c r="F42" s="23"/>
      <c r="G42" s="23"/>
      <c r="H42" s="23"/>
      <c r="I42" s="23"/>
      <c r="J42" s="23"/>
      <c r="K42" s="23"/>
      <c r="L42" s="23"/>
      <c r="M42" s="23"/>
      <c r="N42" s="23"/>
      <c r="O42" s="23"/>
    </row>
    <row r="43" spans="1:15" ht="159.19999999999999" customHeight="1" x14ac:dyDescent="0.2">
      <c r="A43" s="23"/>
      <c r="B43" s="23"/>
      <c r="C43" s="23"/>
      <c r="D43" s="7"/>
      <c r="E43" s="23"/>
      <c r="F43" s="23"/>
      <c r="G43" s="23"/>
      <c r="H43" s="23"/>
      <c r="I43" s="23"/>
      <c r="J43" s="23"/>
      <c r="K43" s="23"/>
      <c r="L43" s="23"/>
      <c r="M43" s="23"/>
      <c r="N43" s="23"/>
      <c r="O43" s="23"/>
    </row>
    <row r="44" spans="1:15" ht="54.2" customHeight="1" x14ac:dyDescent="0.2">
      <c r="A44" s="23"/>
      <c r="E44" s="23"/>
      <c r="F44" s="23"/>
      <c r="G44" s="23"/>
      <c r="H44" s="23"/>
      <c r="I44" s="23"/>
      <c r="J44" s="23"/>
      <c r="K44" s="23"/>
      <c r="L44" s="23"/>
      <c r="M44" s="23"/>
      <c r="N44" s="23"/>
      <c r="O44" s="23"/>
    </row>
    <row r="45" spans="1:15" ht="14.1" customHeight="1" x14ac:dyDescent="0.2">
      <c r="A45" s="23"/>
      <c r="D45" s="23"/>
      <c r="E45" s="23"/>
      <c r="F45" s="23"/>
      <c r="G45" s="23"/>
      <c r="H45" s="23"/>
      <c r="I45" s="23"/>
      <c r="J45" s="23"/>
      <c r="K45" s="23"/>
      <c r="L45" s="23"/>
      <c r="M45" s="23"/>
      <c r="N45" s="23"/>
      <c r="O45" s="23"/>
    </row>
    <row r="46" spans="1:15" ht="14.1" customHeight="1" x14ac:dyDescent="0.2">
      <c r="D46" s="23"/>
      <c r="N46" s="23"/>
      <c r="O46" s="23"/>
    </row>
    <row r="47" spans="1:15" ht="14.1" customHeight="1" x14ac:dyDescent="0.2">
      <c r="D47" s="23"/>
      <c r="N47" s="23"/>
      <c r="O47" s="23"/>
    </row>
    <row r="48" spans="1:15" ht="15" customHeight="1" x14ac:dyDescent="0.2">
      <c r="O48" s="23"/>
    </row>
    <row r="49" spans="15:15" ht="15" customHeight="1" x14ac:dyDescent="0.2">
      <c r="O49" s="23"/>
    </row>
    <row r="50" spans="15:15" ht="15" customHeight="1" x14ac:dyDescent="0.2">
      <c r="O50" s="23"/>
    </row>
    <row r="51" spans="15:15" ht="15" customHeight="1" x14ac:dyDescent="0.2"/>
    <row r="52" spans="15:15" ht="15" customHeight="1" x14ac:dyDescent="0.2"/>
    <row r="53" spans="15:15" ht="15" customHeight="1" x14ac:dyDescent="0.2"/>
    <row r="54" spans="15:15" ht="15" customHeight="1" x14ac:dyDescent="0.2"/>
    <row r="55" spans="15:15" ht="15" customHeight="1" x14ac:dyDescent="0.2"/>
    <row r="56" spans="15:15" ht="15" customHeight="1" x14ac:dyDescent="0.2"/>
    <row r="57" spans="15:15" ht="15" customHeight="1" x14ac:dyDescent="0.2"/>
    <row r="58" spans="15:15" ht="15" customHeight="1" x14ac:dyDescent="0.2"/>
    <row r="59" spans="15:15" ht="15" customHeight="1" x14ac:dyDescent="0.2"/>
    <row r="60" spans="15:15" ht="15" customHeight="1" x14ac:dyDescent="0.2"/>
    <row r="61" spans="15:15" ht="15" customHeight="1" x14ac:dyDescent="0.2"/>
    <row r="62" spans="15:15" ht="15" customHeight="1" x14ac:dyDescent="0.2"/>
    <row r="63" spans="15:15" ht="15" customHeight="1" x14ac:dyDescent="0.2"/>
    <row r="64" spans="15:15" ht="15" customHeight="1" x14ac:dyDescent="0.2"/>
    <row r="65" ht="15" customHeight="1" x14ac:dyDescent="0.2"/>
    <row r="66" ht="15" customHeight="1" x14ac:dyDescent="0.2"/>
    <row r="67" ht="15" customHeight="1" x14ac:dyDescent="0.2"/>
    <row r="68" ht="15" customHeight="1" x14ac:dyDescent="0.2"/>
  </sheetData>
  <sheetProtection algorithmName="SHA-512" hashValue="sqdTSQt1JEYBpKIk1886GdlTKYm5ISAj1xaRyjjinXYu6nkBP/kvHTVsTwEwBJvSgbq13GWodCPhL/K9RhlC3A==" saltValue="l/eGj0nGPFFxZ0PmS5Co6w==" spinCount="100000" sheet="1" objects="1" scenarios="1"/>
  <mergeCells count="17">
    <mergeCell ref="W4:W6"/>
    <mergeCell ref="A25:C26"/>
    <mergeCell ref="W15:W20"/>
    <mergeCell ref="W21:W23"/>
    <mergeCell ref="W25:AB26"/>
    <mergeCell ref="O13:U13"/>
    <mergeCell ref="W7:W14"/>
    <mergeCell ref="O10:O12"/>
    <mergeCell ref="E11:M14"/>
    <mergeCell ref="A7:A14"/>
    <mergeCell ref="A15:A20"/>
    <mergeCell ref="A21:A23"/>
    <mergeCell ref="A1:C1"/>
    <mergeCell ref="A4:A6"/>
    <mergeCell ref="G1:O1"/>
    <mergeCell ref="O4:O5"/>
    <mergeCell ref="O6:O9"/>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I78"/>
  <sheetViews>
    <sheetView showGridLines="0" showRuler="0" zoomScaleNormal="100" workbookViewId="0">
      <selection activeCell="I4" sqref="I4"/>
    </sheetView>
  </sheetViews>
  <sheetFormatPr defaultColWidth="13.140625" defaultRowHeight="12.75" x14ac:dyDescent="0.2"/>
  <cols>
    <col min="1" max="1" width="25.5703125" customWidth="1"/>
    <col min="2" max="23" width="14.85546875" customWidth="1"/>
    <col min="24" max="24" width="9.42578125" customWidth="1"/>
    <col min="25" max="25" width="14.140625" customWidth="1"/>
    <col min="26" max="26" width="32" customWidth="1"/>
    <col min="27" max="31" width="14.140625" customWidth="1"/>
    <col min="32" max="32" width="6" style="528" customWidth="1"/>
    <col min="33" max="33" width="20.5703125" style="528" customWidth="1"/>
    <col min="34" max="34" width="10.140625" customWidth="1"/>
    <col min="35" max="35" width="5.7109375" customWidth="1"/>
    <col min="36" max="36" width="19.140625" customWidth="1"/>
    <col min="37" max="37" width="15.7109375" customWidth="1"/>
    <col min="38" max="47" width="14.140625" customWidth="1"/>
    <col min="48" max="48" width="8.140625" customWidth="1"/>
    <col min="49" max="49" width="23.5703125" customWidth="1"/>
    <col min="50" max="54" width="14.140625" customWidth="1"/>
    <col min="55" max="55" width="5" customWidth="1"/>
    <col min="56" max="56" width="22.28515625" style="528" customWidth="1"/>
    <col min="57" max="57" width="18.5703125" style="528" customWidth="1"/>
    <col min="58" max="58" width="5" customWidth="1"/>
    <col min="59" max="59" width="24.5703125" customWidth="1"/>
    <col min="60" max="60" width="21.85546875" customWidth="1"/>
    <col min="61" max="75" width="14.140625" customWidth="1"/>
    <col min="76" max="76" width="15.140625" customWidth="1"/>
    <col min="77" max="77" width="14.140625" customWidth="1"/>
    <col min="78" max="78" width="17.42578125" customWidth="1"/>
    <col min="79" max="79" width="7.140625" customWidth="1"/>
    <col min="80" max="80" width="32.42578125" customWidth="1"/>
    <col min="81" max="81" width="20" customWidth="1"/>
    <col min="82" max="82" width="16.85546875" customWidth="1"/>
    <col min="83" max="83" width="5.7109375" customWidth="1"/>
    <col min="84" max="84" width="4" customWidth="1"/>
    <col min="85" max="85" width="46.28515625" customWidth="1"/>
    <col min="86" max="86" width="16.140625" hidden="1" customWidth="1"/>
    <col min="87" max="91" width="16.140625" customWidth="1"/>
    <col min="92" max="92" width="7.85546875" customWidth="1"/>
    <col min="93" max="93" width="35" customWidth="1"/>
    <col min="94" max="94" width="21.140625" customWidth="1"/>
    <col min="97" max="97" width="8.7109375" customWidth="1"/>
    <col min="98" max="98" width="27.5703125" customWidth="1"/>
    <col min="103" max="103" width="12.85546875" customWidth="1"/>
    <col min="104" max="104" width="3.7109375" customWidth="1"/>
    <col min="105" max="105" width="4.28515625" customWidth="1"/>
    <col min="106" max="106" width="32.5703125" customWidth="1"/>
    <col min="107" max="107" width="16.140625" hidden="1" customWidth="1"/>
    <col min="108" max="110" width="16.140625" customWidth="1"/>
    <col min="112" max="112" width="15.140625" customWidth="1"/>
    <col min="113" max="113" width="8.7109375" customWidth="1"/>
    <col min="114" max="114" width="29.42578125" customWidth="1"/>
    <col min="115" max="121" width="15.42578125" customWidth="1"/>
    <col min="123" max="123" width="16.140625" customWidth="1"/>
    <col min="124" max="124" width="7.28515625" customWidth="1"/>
    <col min="125" max="125" width="5.5703125" customWidth="1"/>
    <col min="126" max="126" width="28.140625" customWidth="1"/>
    <col min="127" max="130" width="23.140625" customWidth="1"/>
    <col min="131" max="131" width="22.7109375" customWidth="1"/>
    <col min="132" max="132" width="9" customWidth="1"/>
    <col min="133" max="133" width="46.5703125" customWidth="1"/>
  </cols>
  <sheetData>
    <row r="1" spans="1:139" ht="18" customHeight="1" x14ac:dyDescent="0.25">
      <c r="A1" s="624" t="s">
        <v>226</v>
      </c>
      <c r="B1" s="632"/>
      <c r="C1" s="632"/>
      <c r="D1" s="23"/>
      <c r="E1" s="23"/>
      <c r="F1" s="23"/>
      <c r="G1" s="23"/>
      <c r="H1" s="23"/>
      <c r="I1" s="23"/>
      <c r="J1" s="23"/>
      <c r="K1" s="23"/>
      <c r="L1" s="23"/>
      <c r="M1" s="23"/>
      <c r="N1" s="23"/>
      <c r="O1" s="23"/>
      <c r="P1" s="23"/>
      <c r="Q1" s="23"/>
      <c r="BH1" s="7"/>
      <c r="BI1" s="7"/>
      <c r="BJ1" s="7"/>
    </row>
    <row r="2" spans="1:139" x14ac:dyDescent="0.2">
      <c r="A2" s="124"/>
      <c r="B2" s="125"/>
      <c r="C2" s="125"/>
      <c r="D2" s="125"/>
      <c r="E2" s="125"/>
      <c r="F2" s="125"/>
      <c r="G2" s="125"/>
      <c r="H2" s="125"/>
      <c r="I2" s="125"/>
      <c r="J2" s="125"/>
      <c r="K2" s="125"/>
      <c r="L2" s="125"/>
      <c r="M2" s="125"/>
      <c r="N2" s="125"/>
      <c r="O2" s="125"/>
      <c r="P2" s="125"/>
      <c r="Q2" s="125"/>
      <c r="R2" s="125"/>
      <c r="S2" s="125"/>
      <c r="T2" s="125"/>
      <c r="U2" s="125"/>
      <c r="V2" s="125"/>
      <c r="W2" s="125"/>
      <c r="X2" s="23"/>
      <c r="Z2" s="23"/>
      <c r="AA2" s="23"/>
      <c r="AB2" s="23"/>
      <c r="AC2" s="23"/>
      <c r="AD2" s="23"/>
      <c r="AE2" s="23"/>
      <c r="AF2" s="525"/>
      <c r="AG2" s="525"/>
      <c r="AH2" s="23"/>
      <c r="AI2" s="23"/>
      <c r="AK2" s="23"/>
      <c r="AL2" s="125"/>
      <c r="AM2" s="125"/>
      <c r="AN2" s="125"/>
      <c r="AO2" s="125"/>
      <c r="AP2" s="125"/>
      <c r="AQ2" s="125"/>
      <c r="AR2" s="125"/>
      <c r="AS2" s="125"/>
      <c r="AT2" s="125"/>
      <c r="AU2" s="23"/>
      <c r="AV2" s="23"/>
      <c r="AX2" s="23"/>
      <c r="AY2" s="23"/>
      <c r="AZ2" s="23"/>
      <c r="BA2" s="23"/>
      <c r="BB2" s="23"/>
      <c r="BC2" s="23"/>
      <c r="BD2" s="525"/>
      <c r="BE2" s="525"/>
      <c r="BF2" s="23"/>
      <c r="BH2" s="23"/>
      <c r="BI2" s="125"/>
      <c r="BJ2" s="125"/>
      <c r="BK2" s="125"/>
      <c r="BL2" s="125"/>
      <c r="BM2" s="125"/>
      <c r="BN2" s="125"/>
      <c r="BO2" s="125"/>
      <c r="BP2" s="125"/>
      <c r="BQ2" s="125"/>
      <c r="BR2" s="125"/>
      <c r="BS2" s="125"/>
      <c r="BT2" s="125"/>
      <c r="BU2" s="125"/>
      <c r="BV2" s="125"/>
      <c r="BW2" s="125"/>
      <c r="BX2" s="125"/>
      <c r="BY2" s="125"/>
      <c r="BZ2" s="125"/>
      <c r="CI2" s="126"/>
      <c r="CJ2" s="126"/>
      <c r="CK2" s="126"/>
      <c r="CL2" s="126"/>
      <c r="CM2" s="126"/>
      <c r="CQ2" s="125"/>
      <c r="CR2" s="125"/>
    </row>
    <row r="3" spans="1:139" ht="15" customHeight="1" x14ac:dyDescent="0.2">
      <c r="A3" s="127" t="s">
        <v>227</v>
      </c>
      <c r="B3" s="128"/>
      <c r="C3" s="128" t="s">
        <v>228</v>
      </c>
      <c r="D3" s="128" t="s">
        <v>229</v>
      </c>
      <c r="E3" s="128" t="s">
        <v>230</v>
      </c>
      <c r="F3" s="128" t="s">
        <v>231</v>
      </c>
      <c r="G3" s="128" t="s">
        <v>232</v>
      </c>
      <c r="H3" s="128" t="s">
        <v>233</v>
      </c>
      <c r="I3" s="128" t="s">
        <v>234</v>
      </c>
      <c r="J3" s="128" t="s">
        <v>235</v>
      </c>
      <c r="K3" s="128" t="s">
        <v>236</v>
      </c>
      <c r="L3" s="128" t="s">
        <v>237</v>
      </c>
      <c r="M3" s="128" t="s">
        <v>238</v>
      </c>
      <c r="N3" s="128" t="s">
        <v>239</v>
      </c>
      <c r="O3" s="395" t="s">
        <v>1118</v>
      </c>
      <c r="P3" s="128" t="s">
        <v>240</v>
      </c>
      <c r="Q3" s="128" t="s">
        <v>241</v>
      </c>
      <c r="R3" s="128" t="s">
        <v>242</v>
      </c>
      <c r="S3" s="128" t="s">
        <v>243</v>
      </c>
      <c r="T3" s="128" t="s">
        <v>244</v>
      </c>
      <c r="U3" s="128" t="s">
        <v>245</v>
      </c>
      <c r="V3" s="128" t="s">
        <v>246</v>
      </c>
      <c r="W3" s="128" t="s">
        <v>247</v>
      </c>
      <c r="X3" s="129"/>
      <c r="Y3" s="127" t="s">
        <v>248</v>
      </c>
      <c r="Z3" s="130"/>
      <c r="AA3" s="130"/>
      <c r="AB3" s="130"/>
      <c r="AC3" s="130"/>
      <c r="AD3" s="130"/>
      <c r="AE3" s="130"/>
      <c r="AF3" s="536"/>
      <c r="AG3" s="536"/>
      <c r="AH3" s="129"/>
      <c r="AI3" s="129"/>
      <c r="AJ3" s="127" t="s">
        <v>249</v>
      </c>
      <c r="AK3" s="130"/>
      <c r="AL3" s="128"/>
      <c r="AM3" s="128" t="s">
        <v>250</v>
      </c>
      <c r="AN3" s="128" t="s">
        <v>251</v>
      </c>
      <c r="AO3" s="128" t="s">
        <v>231</v>
      </c>
      <c r="AP3" s="128"/>
      <c r="AQ3" s="128" t="s">
        <v>252</v>
      </c>
      <c r="AR3" s="128" t="s">
        <v>253</v>
      </c>
      <c r="AS3" s="128"/>
      <c r="AT3" s="128" t="s">
        <v>254</v>
      </c>
      <c r="AU3" s="130"/>
      <c r="AV3" s="129"/>
      <c r="AW3" s="127" t="s">
        <v>255</v>
      </c>
      <c r="AX3" s="130"/>
      <c r="AY3" s="130"/>
      <c r="AZ3" s="130"/>
      <c r="BA3" s="130"/>
      <c r="BB3" s="130"/>
      <c r="BC3" s="129"/>
      <c r="BD3" s="129"/>
      <c r="BE3" s="129"/>
      <c r="BF3" s="129"/>
      <c r="BG3" s="127" t="s">
        <v>256</v>
      </c>
      <c r="BH3" s="130"/>
      <c r="BI3" s="128" t="s">
        <v>257</v>
      </c>
      <c r="BJ3" s="128" t="s">
        <v>258</v>
      </c>
      <c r="BK3" s="128" t="s">
        <v>259</v>
      </c>
      <c r="BL3" s="128" t="s">
        <v>260</v>
      </c>
      <c r="BM3" s="128" t="s">
        <v>261</v>
      </c>
      <c r="BN3" s="128" t="s">
        <v>262</v>
      </c>
      <c r="BO3" s="128" t="s">
        <v>263</v>
      </c>
      <c r="BP3" s="128" t="s">
        <v>264</v>
      </c>
      <c r="BQ3" s="128" t="s">
        <v>265</v>
      </c>
      <c r="BR3" s="128" t="s">
        <v>266</v>
      </c>
      <c r="BS3" s="128" t="s">
        <v>267</v>
      </c>
      <c r="BT3" s="128" t="s">
        <v>268</v>
      </c>
      <c r="BU3" s="128" t="s">
        <v>269</v>
      </c>
      <c r="BV3" s="128" t="s">
        <v>270</v>
      </c>
      <c r="BW3" s="128" t="s">
        <v>271</v>
      </c>
      <c r="BX3" s="128" t="s">
        <v>272</v>
      </c>
      <c r="BY3" s="128" t="s">
        <v>273</v>
      </c>
      <c r="BZ3" s="128" t="s">
        <v>274</v>
      </c>
      <c r="CI3" s="131"/>
      <c r="CJ3" s="131"/>
      <c r="CK3" s="131"/>
      <c r="CL3" s="131"/>
      <c r="CM3" s="131"/>
      <c r="CO3" s="127" t="s">
        <v>275</v>
      </c>
      <c r="CQ3" s="128" t="s">
        <v>276</v>
      </c>
      <c r="CR3" s="128" t="s">
        <v>277</v>
      </c>
      <c r="CT3" s="127" t="s">
        <v>278</v>
      </c>
      <c r="DB3" s="127" t="s">
        <v>279</v>
      </c>
      <c r="DJ3" s="127" t="s">
        <v>280</v>
      </c>
      <c r="DV3" s="127" t="s">
        <v>281</v>
      </c>
    </row>
    <row r="4" spans="1:139" ht="82.5" customHeight="1" x14ac:dyDescent="0.25">
      <c r="A4" s="458" t="s">
        <v>1154</v>
      </c>
      <c r="B4" s="6" t="s">
        <v>142</v>
      </c>
      <c r="C4" s="6" t="s">
        <v>282</v>
      </c>
      <c r="D4" s="6" t="s">
        <v>283</v>
      </c>
      <c r="E4" s="6" t="s">
        <v>284</v>
      </c>
      <c r="F4" s="6" t="s">
        <v>285</v>
      </c>
      <c r="G4" s="6" t="s">
        <v>286</v>
      </c>
      <c r="H4" s="6" t="s">
        <v>287</v>
      </c>
      <c r="I4" s="6" t="s">
        <v>288</v>
      </c>
      <c r="J4" s="6" t="s">
        <v>289</v>
      </c>
      <c r="K4" s="6" t="s">
        <v>290</v>
      </c>
      <c r="L4" s="6" t="s">
        <v>291</v>
      </c>
      <c r="M4" s="6" t="s">
        <v>292</v>
      </c>
      <c r="N4" s="6" t="s">
        <v>293</v>
      </c>
      <c r="O4" s="6" t="s">
        <v>294</v>
      </c>
      <c r="P4" s="6" t="s">
        <v>295</v>
      </c>
      <c r="Q4" s="6" t="s">
        <v>296</v>
      </c>
      <c r="R4" s="6" t="s">
        <v>297</v>
      </c>
      <c r="S4" s="6" t="s">
        <v>298</v>
      </c>
      <c r="T4" s="6" t="s">
        <v>299</v>
      </c>
      <c r="U4" s="6" t="s">
        <v>300</v>
      </c>
      <c r="V4" s="6" t="s">
        <v>246</v>
      </c>
      <c r="W4" s="6" t="s">
        <v>301</v>
      </c>
      <c r="X4" s="11"/>
      <c r="Y4" s="642" t="s">
        <v>302</v>
      </c>
      <c r="Z4" s="642"/>
      <c r="AA4" s="132" t="s">
        <v>176</v>
      </c>
      <c r="AB4" s="132" t="s">
        <v>177</v>
      </c>
      <c r="AC4" s="132" t="s">
        <v>303</v>
      </c>
      <c r="AD4" s="132" t="s">
        <v>304</v>
      </c>
      <c r="AE4" s="132" t="s">
        <v>305</v>
      </c>
      <c r="AF4" s="537"/>
      <c r="AG4" s="527" t="s">
        <v>1282</v>
      </c>
      <c r="AH4" s="529">
        <v>2020</v>
      </c>
      <c r="AI4" s="16"/>
      <c r="AJ4" s="133" t="s">
        <v>306</v>
      </c>
      <c r="AK4" s="5" t="s">
        <v>142</v>
      </c>
      <c r="AL4" s="5" t="s">
        <v>307</v>
      </c>
      <c r="AM4" s="5" t="s">
        <v>308</v>
      </c>
      <c r="AN4" s="5" t="s">
        <v>309</v>
      </c>
      <c r="AO4" s="5" t="s">
        <v>310</v>
      </c>
      <c r="AP4" s="5" t="s">
        <v>311</v>
      </c>
      <c r="AQ4" s="5" t="s">
        <v>312</v>
      </c>
      <c r="AR4" s="4" t="s">
        <v>313</v>
      </c>
      <c r="AS4" s="5" t="s">
        <v>314</v>
      </c>
      <c r="AT4" s="5" t="s">
        <v>315</v>
      </c>
      <c r="AU4" s="5" t="s">
        <v>316</v>
      </c>
      <c r="AV4" s="11"/>
      <c r="AW4" s="39" t="s">
        <v>317</v>
      </c>
      <c r="AX4" s="132" t="s">
        <v>176</v>
      </c>
      <c r="AY4" s="132" t="s">
        <v>177</v>
      </c>
      <c r="AZ4" s="132" t="s">
        <v>303</v>
      </c>
      <c r="BA4" s="134">
        <v>2019</v>
      </c>
      <c r="BB4" s="134">
        <v>2020</v>
      </c>
      <c r="BC4" s="57"/>
      <c r="BD4" s="534" t="s">
        <v>1280</v>
      </c>
      <c r="BE4" s="533">
        <v>2020</v>
      </c>
      <c r="BF4" s="16"/>
      <c r="BG4" s="458" t="s">
        <v>1155</v>
      </c>
      <c r="BH4" s="5" t="s">
        <v>142</v>
      </c>
      <c r="BI4" s="4" t="s">
        <v>318</v>
      </c>
      <c r="BJ4" s="5" t="s">
        <v>258</v>
      </c>
      <c r="BK4" s="5" t="s">
        <v>259</v>
      </c>
      <c r="BL4" s="5" t="s">
        <v>260</v>
      </c>
      <c r="BM4" s="5" t="s">
        <v>261</v>
      </c>
      <c r="BN4" s="5" t="s">
        <v>262</v>
      </c>
      <c r="BO4" s="5" t="s">
        <v>263</v>
      </c>
      <c r="BP4" s="5" t="s">
        <v>264</v>
      </c>
      <c r="BQ4" s="5" t="s">
        <v>265</v>
      </c>
      <c r="BR4" s="5" t="s">
        <v>266</v>
      </c>
      <c r="BS4" s="5" t="s">
        <v>267</v>
      </c>
      <c r="BT4" s="4" t="s">
        <v>319</v>
      </c>
      <c r="BU4" s="5" t="s">
        <v>269</v>
      </c>
      <c r="BV4" s="5" t="s">
        <v>320</v>
      </c>
      <c r="BW4" s="36" t="s">
        <v>271</v>
      </c>
      <c r="BX4" s="36" t="s">
        <v>273</v>
      </c>
      <c r="BY4" s="36" t="s">
        <v>272</v>
      </c>
      <c r="BZ4" s="36" t="s">
        <v>321</v>
      </c>
      <c r="CA4" s="55"/>
      <c r="CB4" s="38" t="s">
        <v>322</v>
      </c>
      <c r="CC4" s="6" t="s">
        <v>142</v>
      </c>
      <c r="CD4" s="6" t="s">
        <v>323</v>
      </c>
      <c r="CE4" s="26"/>
      <c r="CG4" s="103" t="s">
        <v>324</v>
      </c>
      <c r="CH4" s="135" t="s">
        <v>175</v>
      </c>
      <c r="CI4" s="132" t="s">
        <v>176</v>
      </c>
      <c r="CJ4" s="132" t="s">
        <v>177</v>
      </c>
      <c r="CK4" s="132" t="s">
        <v>303</v>
      </c>
      <c r="CL4" s="132" t="s">
        <v>304</v>
      </c>
      <c r="CM4" s="132" t="s">
        <v>305</v>
      </c>
      <c r="CN4" s="90"/>
      <c r="CO4" s="425" t="s">
        <v>1156</v>
      </c>
      <c r="CP4" s="497" t="s">
        <v>802</v>
      </c>
      <c r="CQ4" s="5" t="s">
        <v>276</v>
      </c>
      <c r="CR4" s="5" t="s">
        <v>277</v>
      </c>
      <c r="CS4" s="55"/>
      <c r="CT4" s="103" t="s">
        <v>325</v>
      </c>
      <c r="CU4" s="135" t="s">
        <v>176</v>
      </c>
      <c r="CV4" s="135" t="s">
        <v>177</v>
      </c>
      <c r="CW4" s="135" t="s">
        <v>303</v>
      </c>
      <c r="CX4" s="135" t="s">
        <v>304</v>
      </c>
      <c r="CY4" s="135" t="s">
        <v>305</v>
      </c>
      <c r="CZ4" s="26"/>
      <c r="DB4" s="39" t="s">
        <v>326</v>
      </c>
      <c r="DC4" s="136" t="s">
        <v>175</v>
      </c>
      <c r="DD4" s="136" t="s">
        <v>176</v>
      </c>
      <c r="DE4" s="136" t="s">
        <v>177</v>
      </c>
      <c r="DF4" s="136" t="s">
        <v>303</v>
      </c>
      <c r="DG4" s="136" t="s">
        <v>304</v>
      </c>
      <c r="DH4" s="136" t="s">
        <v>305</v>
      </c>
      <c r="DI4" s="55"/>
      <c r="DJ4" s="458" t="s">
        <v>1157</v>
      </c>
      <c r="DK4" s="5" t="s">
        <v>142</v>
      </c>
      <c r="DL4" s="5" t="s">
        <v>327</v>
      </c>
      <c r="DM4" s="5" t="s">
        <v>229</v>
      </c>
      <c r="DN4" s="5" t="s">
        <v>230</v>
      </c>
      <c r="DO4" s="5" t="s">
        <v>231</v>
      </c>
      <c r="DP4" s="5" t="s">
        <v>232</v>
      </c>
      <c r="DQ4" s="5" t="s">
        <v>233</v>
      </c>
      <c r="DR4" s="5" t="s">
        <v>234</v>
      </c>
      <c r="DS4" s="5" t="s">
        <v>235</v>
      </c>
      <c r="DT4" s="181"/>
      <c r="DU4" s="62"/>
      <c r="DV4" s="38" t="s">
        <v>328</v>
      </c>
      <c r="DW4" s="5" t="s">
        <v>1</v>
      </c>
      <c r="DX4" s="437" t="s">
        <v>329</v>
      </c>
      <c r="DY4" s="435" t="s">
        <v>330</v>
      </c>
      <c r="DZ4" s="435" t="s">
        <v>331</v>
      </c>
      <c r="EA4" s="435" t="s">
        <v>332</v>
      </c>
      <c r="EB4" s="55"/>
      <c r="EC4" s="39" t="s">
        <v>333</v>
      </c>
      <c r="ED4" s="503">
        <v>2019</v>
      </c>
      <c r="EE4" s="503">
        <v>2020</v>
      </c>
      <c r="EF4" s="26"/>
      <c r="EH4" s="7"/>
    </row>
    <row r="5" spans="1:139" ht="29.1" customHeight="1" x14ac:dyDescent="0.2">
      <c r="A5" s="633" t="s">
        <v>154</v>
      </c>
      <c r="B5" s="120" t="s">
        <v>72</v>
      </c>
      <c r="C5" s="137">
        <f t="shared" ref="C5:W5" si="0">SUM(C6:C7)</f>
        <v>0</v>
      </c>
      <c r="D5" s="137">
        <f t="shared" si="0"/>
        <v>2521245.7817329289</v>
      </c>
      <c r="E5" s="137">
        <f t="shared" si="0"/>
        <v>0</v>
      </c>
      <c r="F5" s="137">
        <f t="shared" si="0"/>
        <v>0</v>
      </c>
      <c r="G5" s="137">
        <f t="shared" si="0"/>
        <v>0</v>
      </c>
      <c r="H5" s="137">
        <f t="shared" si="0"/>
        <v>573.56200000000001</v>
      </c>
      <c r="I5" s="137">
        <f t="shared" si="0"/>
        <v>0</v>
      </c>
      <c r="J5" s="137">
        <f t="shared" si="0"/>
        <v>0</v>
      </c>
      <c r="K5" s="137">
        <f t="shared" si="0"/>
        <v>2521819.3437329289</v>
      </c>
      <c r="L5" s="137">
        <f t="shared" si="0"/>
        <v>0</v>
      </c>
      <c r="M5" s="137">
        <f t="shared" si="0"/>
        <v>0</v>
      </c>
      <c r="N5" s="137">
        <f t="shared" si="0"/>
        <v>188.63424000000001</v>
      </c>
      <c r="O5" s="137">
        <f t="shared" si="0"/>
        <v>0</v>
      </c>
      <c r="P5" s="137">
        <f t="shared" si="0"/>
        <v>188.63424000000001</v>
      </c>
      <c r="Q5" s="137">
        <f t="shared" si="0"/>
        <v>2522007.9779729294</v>
      </c>
      <c r="R5" s="137">
        <f t="shared" si="0"/>
        <v>2334408.3215999999</v>
      </c>
      <c r="S5" s="137">
        <f t="shared" si="0"/>
        <v>0</v>
      </c>
      <c r="T5" s="137">
        <f t="shared" si="0"/>
        <v>0</v>
      </c>
      <c r="U5" s="137">
        <f t="shared" si="0"/>
        <v>0</v>
      </c>
      <c r="V5" s="137">
        <f t="shared" si="0"/>
        <v>2334408.3215999999</v>
      </c>
      <c r="W5" s="137">
        <f t="shared" si="0"/>
        <v>4856416.2995729297</v>
      </c>
      <c r="X5" s="11"/>
      <c r="Y5" s="644" t="s">
        <v>334</v>
      </c>
      <c r="Z5" s="644"/>
      <c r="AA5" s="644"/>
      <c r="AB5" s="644"/>
      <c r="AC5" s="644"/>
      <c r="AD5" s="644"/>
      <c r="AE5" s="644"/>
      <c r="AF5" s="539"/>
      <c r="AG5" s="532" t="s">
        <v>1283</v>
      </c>
      <c r="AH5" s="531">
        <v>4.12</v>
      </c>
      <c r="AI5" s="85"/>
      <c r="AJ5" s="633" t="s">
        <v>154</v>
      </c>
      <c r="AK5" s="120" t="s">
        <v>72</v>
      </c>
      <c r="AL5" s="138">
        <f t="shared" ref="AL5:AU5" si="1">SUM(AL6:AL7)</f>
        <v>2095.0343672399999</v>
      </c>
      <c r="AM5" s="138">
        <f t="shared" si="1"/>
        <v>1906.4001272400001</v>
      </c>
      <c r="AN5" s="138">
        <f t="shared" si="1"/>
        <v>0</v>
      </c>
      <c r="AO5" s="138">
        <f t="shared" si="1"/>
        <v>0</v>
      </c>
      <c r="AP5" s="138">
        <f t="shared" si="1"/>
        <v>0</v>
      </c>
      <c r="AQ5" s="138">
        <f t="shared" si="1"/>
        <v>0</v>
      </c>
      <c r="AR5" s="138">
        <f t="shared" si="1"/>
        <v>188.63424000000001</v>
      </c>
      <c r="AS5" s="138">
        <f t="shared" si="1"/>
        <v>0</v>
      </c>
      <c r="AT5" s="138">
        <f t="shared" si="1"/>
        <v>0</v>
      </c>
      <c r="AU5" s="138">
        <f t="shared" si="1"/>
        <v>2095.0343672399999</v>
      </c>
      <c r="AV5" s="11"/>
      <c r="AW5" s="120" t="s">
        <v>307</v>
      </c>
      <c r="AX5" s="93">
        <f>SUM(AX6:AX10)</f>
        <v>0.93340000000000012</v>
      </c>
      <c r="AY5" s="93">
        <f>SUM(AY6:AY10)</f>
        <v>1.5</v>
      </c>
      <c r="AZ5" s="93">
        <f>SUM(AZ6:AZ10)</f>
        <v>1.6991999999999998</v>
      </c>
      <c r="BA5" s="93">
        <f>SUM(BA6:BA10)</f>
        <v>1.7699999999999998</v>
      </c>
      <c r="BB5" s="93">
        <f>SUM(BB6:BB10)</f>
        <v>4.3310516352004651</v>
      </c>
      <c r="BC5" s="57"/>
      <c r="BD5" s="532" t="s">
        <v>1278</v>
      </c>
      <c r="BE5" s="535">
        <v>0.16769999999999999</v>
      </c>
      <c r="BF5" s="16"/>
      <c r="BG5" s="633" t="s">
        <v>154</v>
      </c>
      <c r="BH5" s="92" t="s">
        <v>72</v>
      </c>
      <c r="BI5" s="138">
        <f t="shared" ref="BI5:BY5" si="2">SUM(BI6:BI7)</f>
        <v>0</v>
      </c>
      <c r="BJ5" s="138">
        <f t="shared" si="2"/>
        <v>186851.03763169621</v>
      </c>
      <c r="BK5" s="138">
        <f t="shared" si="2"/>
        <v>0</v>
      </c>
      <c r="BL5" s="138">
        <f t="shared" si="2"/>
        <v>0</v>
      </c>
      <c r="BM5" s="138">
        <f t="shared" si="2"/>
        <v>0</v>
      </c>
      <c r="BN5" s="138">
        <f t="shared" si="2"/>
        <v>36.1946873662</v>
      </c>
      <c r="BO5" s="138">
        <f t="shared" si="2"/>
        <v>0</v>
      </c>
      <c r="BP5" s="138">
        <f t="shared" si="2"/>
        <v>0</v>
      </c>
      <c r="BQ5" s="138">
        <f t="shared" si="2"/>
        <v>0</v>
      </c>
      <c r="BR5" s="138">
        <f t="shared" si="2"/>
        <v>0</v>
      </c>
      <c r="BS5" s="138">
        <f t="shared" si="2"/>
        <v>0</v>
      </c>
      <c r="BT5" s="138">
        <f t="shared" si="2"/>
        <v>0</v>
      </c>
      <c r="BU5" s="138">
        <f t="shared" si="2"/>
        <v>0</v>
      </c>
      <c r="BV5" s="138">
        <f t="shared" si="2"/>
        <v>0</v>
      </c>
      <c r="BW5" s="138">
        <f t="shared" si="2"/>
        <v>186887.23231906301</v>
      </c>
      <c r="BX5" s="138">
        <f t="shared" si="2"/>
        <v>149466.977258</v>
      </c>
      <c r="BY5" s="138">
        <f t="shared" si="2"/>
        <v>149466.977258</v>
      </c>
      <c r="BZ5" s="138">
        <f t="shared" ref="BZ5:BZ24" si="3">SUM(BW5,BY5)</f>
        <v>336354.20957706298</v>
      </c>
      <c r="CA5" s="55"/>
      <c r="CB5" s="646" t="s">
        <v>154</v>
      </c>
      <c r="CC5" s="396" t="s">
        <v>72</v>
      </c>
      <c r="CD5" s="399">
        <f>BZ5/'2020 Normalizing Denominators'!E4</f>
        <v>395.24583969102582</v>
      </c>
      <c r="CE5" s="26"/>
      <c r="CG5" s="649" t="s">
        <v>335</v>
      </c>
      <c r="CH5" s="650"/>
      <c r="CI5" s="650"/>
      <c r="CJ5" s="650"/>
      <c r="CK5" s="650"/>
      <c r="CL5" s="650"/>
      <c r="CM5" s="651"/>
      <c r="CN5" s="152"/>
      <c r="CO5" s="646" t="s">
        <v>154</v>
      </c>
      <c r="CP5" s="92" t="s">
        <v>72</v>
      </c>
      <c r="CQ5" s="138">
        <f>SUM(CQ6:CQ7)</f>
        <v>2139.2800000000002</v>
      </c>
      <c r="CR5" s="138">
        <f>SUM(CR6:CR7)</f>
        <v>235.94399999999999</v>
      </c>
      <c r="CS5" s="55"/>
      <c r="CT5" s="101" t="s">
        <v>276</v>
      </c>
      <c r="CU5" s="139">
        <v>2000</v>
      </c>
      <c r="CV5" s="139">
        <v>2000</v>
      </c>
      <c r="CW5" s="139">
        <v>4000</v>
      </c>
      <c r="CX5" s="140" t="s">
        <v>165</v>
      </c>
      <c r="CY5" s="141">
        <f>HLOOKUP(CT5,$CQ$3:$CR$25,23,FALSE)/1000000</f>
        <v>6.2309088966109706E-3</v>
      </c>
      <c r="CZ5" s="26"/>
      <c r="DA5" s="182"/>
      <c r="DB5" s="8" t="s">
        <v>336</v>
      </c>
      <c r="DC5" s="10"/>
      <c r="DD5" s="142">
        <v>0.56505335920094202</v>
      </c>
      <c r="DE5" s="142">
        <v>0.47042489708229501</v>
      </c>
      <c r="DF5" s="143">
        <v>0.607047001586421</v>
      </c>
      <c r="DG5" s="144">
        <v>580.11676582403197</v>
      </c>
      <c r="DH5" s="144">
        <v>631.36867569360095</v>
      </c>
      <c r="DI5" s="55"/>
      <c r="DJ5" s="633" t="s">
        <v>154</v>
      </c>
      <c r="DK5" s="120" t="s">
        <v>72</v>
      </c>
      <c r="DL5" s="145">
        <f t="shared" ref="DL5:DL25" si="4">C5/$K5</f>
        <v>0</v>
      </c>
      <c r="DM5" s="145">
        <f t="shared" ref="DM5:DM25" si="5">D5/$K5</f>
        <v>0.99977256023456818</v>
      </c>
      <c r="DN5" s="145">
        <f t="shared" ref="DN5:DN25" si="6">E5/$K5</f>
        <v>0</v>
      </c>
      <c r="DO5" s="145">
        <f t="shared" ref="DO5:DO25" si="7">F5/$K5</f>
        <v>0</v>
      </c>
      <c r="DP5" s="145">
        <f t="shared" ref="DP5:DP25" si="8">G5/$K5</f>
        <v>0</v>
      </c>
      <c r="DQ5" s="145">
        <f t="shared" ref="DQ5:DQ25" si="9">H5/$K5</f>
        <v>2.2743976543180273E-4</v>
      </c>
      <c r="DR5" s="145">
        <f t="shared" ref="DR5:DR25" si="10">I5/$K5</f>
        <v>0</v>
      </c>
      <c r="DS5" s="145">
        <f t="shared" ref="DS5:DS25" si="11">J5/$K5</f>
        <v>0</v>
      </c>
      <c r="DT5" s="181"/>
      <c r="DU5" s="183"/>
      <c r="DV5" s="633" t="s">
        <v>154</v>
      </c>
      <c r="DW5" s="40" t="s">
        <v>41</v>
      </c>
      <c r="DX5" s="40" t="s">
        <v>72</v>
      </c>
      <c r="DY5" s="48" t="s">
        <v>223</v>
      </c>
      <c r="DZ5" s="184"/>
      <c r="EA5" s="184"/>
      <c r="EB5" s="55"/>
      <c r="EC5" s="46" t="s">
        <v>337</v>
      </c>
      <c r="ED5" s="500">
        <v>860510.48667999997</v>
      </c>
      <c r="EE5" s="500">
        <v>1394323.46438</v>
      </c>
      <c r="EF5" s="26"/>
    </row>
    <row r="6" spans="1:139" ht="25.7" customHeight="1" x14ac:dyDescent="0.2">
      <c r="A6" s="633"/>
      <c r="B6" s="97" t="s">
        <v>41</v>
      </c>
      <c r="C6" s="147">
        <v>0</v>
      </c>
      <c r="D6" s="147">
        <v>1540355.3447771999</v>
      </c>
      <c r="E6" s="147">
        <v>0</v>
      </c>
      <c r="F6" s="147">
        <v>0</v>
      </c>
      <c r="G6" s="148">
        <v>0</v>
      </c>
      <c r="H6" s="149">
        <v>303.51400000000001</v>
      </c>
      <c r="I6" s="149">
        <v>0</v>
      </c>
      <c r="J6" s="149">
        <v>0</v>
      </c>
      <c r="K6" s="149">
        <v>1540658.8587772001</v>
      </c>
      <c r="L6" s="149">
        <v>0</v>
      </c>
      <c r="M6" s="149">
        <v>0</v>
      </c>
      <c r="N6" s="149">
        <v>0</v>
      </c>
      <c r="O6" s="149">
        <v>0</v>
      </c>
      <c r="P6" s="149">
        <v>0</v>
      </c>
      <c r="Q6" s="149">
        <v>1540658.8587772001</v>
      </c>
      <c r="R6" s="149">
        <v>1460157.6816</v>
      </c>
      <c r="S6" s="149">
        <v>0</v>
      </c>
      <c r="T6" s="149">
        <v>0</v>
      </c>
      <c r="U6" s="149">
        <v>0</v>
      </c>
      <c r="V6" s="149">
        <v>1460157.6816</v>
      </c>
      <c r="W6" s="149">
        <v>3000816.5403772001</v>
      </c>
      <c r="X6" s="11"/>
      <c r="Y6" s="643" t="s">
        <v>338</v>
      </c>
      <c r="Z6" s="643"/>
      <c r="AA6" s="546">
        <v>0</v>
      </c>
      <c r="AB6" s="546">
        <v>0</v>
      </c>
      <c r="AC6" s="546">
        <v>0</v>
      </c>
      <c r="AD6" s="547">
        <v>0</v>
      </c>
      <c r="AE6" s="547">
        <v>0</v>
      </c>
      <c r="AF6" s="538"/>
      <c r="AG6" s="532" t="s">
        <v>1284</v>
      </c>
      <c r="AH6" s="531">
        <v>6.83</v>
      </c>
      <c r="AI6" s="16"/>
      <c r="AJ6" s="633"/>
      <c r="AK6" s="97" t="s">
        <v>41</v>
      </c>
      <c r="AL6" s="149">
        <v>0</v>
      </c>
      <c r="AM6" s="149">
        <v>0</v>
      </c>
      <c r="AN6" s="149">
        <v>0</v>
      </c>
      <c r="AO6" s="149">
        <v>0</v>
      </c>
      <c r="AP6" s="149">
        <v>0</v>
      </c>
      <c r="AQ6" s="149">
        <v>0</v>
      </c>
      <c r="AR6" s="149">
        <v>0</v>
      </c>
      <c r="AS6" s="149">
        <v>0</v>
      </c>
      <c r="AT6" s="149">
        <v>0</v>
      </c>
      <c r="AU6" s="149">
        <v>0</v>
      </c>
      <c r="AV6" s="11"/>
      <c r="AW6" s="150" t="s">
        <v>250</v>
      </c>
      <c r="AX6" s="151">
        <f>0.78-0.0166</f>
        <v>0.76340000000000008</v>
      </c>
      <c r="AY6" s="151">
        <v>0.77</v>
      </c>
      <c r="AZ6" s="151">
        <f>0.96-0.0108</f>
        <v>0.94919999999999993</v>
      </c>
      <c r="BA6" s="151">
        <v>0.18</v>
      </c>
      <c r="BB6" s="98">
        <f>HLOOKUP(AW6,$AL$3:$AU$25,23,FALSE)/1000000</f>
        <v>4.3891085601001453E-2</v>
      </c>
      <c r="BC6" s="57"/>
      <c r="BD6" s="532" t="s">
        <v>1279</v>
      </c>
      <c r="BE6" s="535">
        <v>0.83150000000000002</v>
      </c>
      <c r="BF6" s="16"/>
      <c r="BG6" s="633"/>
      <c r="BH6" s="97" t="s">
        <v>41</v>
      </c>
      <c r="BI6" s="149">
        <v>0</v>
      </c>
      <c r="BJ6" s="149">
        <v>114156.65881464499</v>
      </c>
      <c r="BK6" s="149">
        <v>0</v>
      </c>
      <c r="BL6" s="149">
        <v>0</v>
      </c>
      <c r="BM6" s="149">
        <v>0</v>
      </c>
      <c r="BN6" s="149">
        <v>19.153281321400002</v>
      </c>
      <c r="BO6" s="149">
        <v>0</v>
      </c>
      <c r="BP6" s="149">
        <v>0</v>
      </c>
      <c r="BQ6" s="149">
        <v>0</v>
      </c>
      <c r="BR6" s="149">
        <v>0</v>
      </c>
      <c r="BS6" s="149">
        <v>0</v>
      </c>
      <c r="BT6" s="149">
        <v>0</v>
      </c>
      <c r="BU6" s="149">
        <v>0</v>
      </c>
      <c r="BV6" s="149">
        <v>0</v>
      </c>
      <c r="BW6" s="149">
        <v>114175.81209596701</v>
      </c>
      <c r="BX6" s="149">
        <v>93490.651557999998</v>
      </c>
      <c r="BY6" s="149">
        <v>93490.651557999998</v>
      </c>
      <c r="BZ6" s="149">
        <f t="shared" si="3"/>
        <v>207666.46365396702</v>
      </c>
      <c r="CA6" s="55"/>
      <c r="CB6" s="647"/>
      <c r="CC6" s="397" t="s">
        <v>41</v>
      </c>
      <c r="CD6" s="398">
        <f>BZ6/'2020 Normalizing Denominators'!E5</f>
        <v>432.63846594576461</v>
      </c>
      <c r="CE6" s="26"/>
      <c r="CG6" s="97" t="s">
        <v>257</v>
      </c>
      <c r="CH6" s="154">
        <v>0</v>
      </c>
      <c r="CI6" s="155">
        <v>0</v>
      </c>
      <c r="CJ6" s="155">
        <v>0</v>
      </c>
      <c r="CK6" s="155">
        <v>0</v>
      </c>
      <c r="CL6" s="156">
        <v>0</v>
      </c>
      <c r="CM6" s="156">
        <f t="shared" ref="CM6:CM19" si="12">HLOOKUP(CG6,$BI$3:$BZ$25,23,FALSE)/1000000</f>
        <v>0</v>
      </c>
      <c r="CN6" s="152"/>
      <c r="CO6" s="647"/>
      <c r="CP6" s="97" t="s">
        <v>41</v>
      </c>
      <c r="CQ6" s="149">
        <v>311.16800000000001</v>
      </c>
      <c r="CR6" s="149">
        <v>235.94399999999999</v>
      </c>
      <c r="CS6" s="55"/>
      <c r="CT6" s="101" t="s">
        <v>277</v>
      </c>
      <c r="CU6" s="139">
        <v>1000</v>
      </c>
      <c r="CV6" s="139">
        <v>1000</v>
      </c>
      <c r="CW6" s="139">
        <v>0</v>
      </c>
      <c r="CX6" s="140" t="s">
        <v>165</v>
      </c>
      <c r="CY6" s="141">
        <f>HLOOKUP(CT6,$CQ$3:$CR$25,23,FALSE)/1000000</f>
        <v>2.3506704000000002E-3</v>
      </c>
      <c r="CZ6" s="26"/>
      <c r="DA6" s="185"/>
      <c r="DB6" s="8" t="s">
        <v>339</v>
      </c>
      <c r="DC6" s="142">
        <v>0.5</v>
      </c>
      <c r="DD6" s="142">
        <v>0.52694950422037701</v>
      </c>
      <c r="DE6" s="142">
        <v>0.44045800973700999</v>
      </c>
      <c r="DF6" s="143">
        <v>0.56942004036106897</v>
      </c>
      <c r="DG6" s="144">
        <v>541.42481188437</v>
      </c>
      <c r="DH6" s="144">
        <v>590.265742618942</v>
      </c>
      <c r="DI6" s="55"/>
      <c r="DJ6" s="633"/>
      <c r="DK6" s="150" t="s">
        <v>41</v>
      </c>
      <c r="DL6" s="157">
        <f t="shared" si="4"/>
        <v>0</v>
      </c>
      <c r="DM6" s="157">
        <f t="shared" si="5"/>
        <v>0.99980299727076438</v>
      </c>
      <c r="DN6" s="157">
        <f t="shared" si="6"/>
        <v>0</v>
      </c>
      <c r="DO6" s="157">
        <f t="shared" si="7"/>
        <v>0</v>
      </c>
      <c r="DP6" s="157">
        <f t="shared" si="8"/>
        <v>0</v>
      </c>
      <c r="DQ6" s="157">
        <f t="shared" si="9"/>
        <v>1.9700272923552651E-4</v>
      </c>
      <c r="DR6" s="157">
        <f t="shared" si="10"/>
        <v>0</v>
      </c>
      <c r="DS6" s="157">
        <f t="shared" si="11"/>
        <v>0</v>
      </c>
      <c r="DT6" s="181"/>
      <c r="DU6" s="183"/>
      <c r="DV6" s="633"/>
      <c r="DW6" s="40" t="s">
        <v>158</v>
      </c>
      <c r="DX6" s="40" t="s">
        <v>72</v>
      </c>
      <c r="DY6" s="48" t="s">
        <v>223</v>
      </c>
      <c r="DZ6" s="184"/>
      <c r="EA6" s="184"/>
      <c r="EB6" s="55"/>
      <c r="EC6" s="46" t="s">
        <v>340</v>
      </c>
      <c r="ED6" s="500">
        <v>404412.72379999998</v>
      </c>
      <c r="EE6" s="501">
        <v>449081.23979000002</v>
      </c>
      <c r="EF6" s="26"/>
    </row>
    <row r="7" spans="1:139" ht="85.5" customHeight="1" x14ac:dyDescent="0.2">
      <c r="A7" s="633"/>
      <c r="B7" s="97" t="s">
        <v>158</v>
      </c>
      <c r="C7" s="147">
        <v>0</v>
      </c>
      <c r="D7" s="147">
        <v>980890.43695572903</v>
      </c>
      <c r="E7" s="147">
        <v>0</v>
      </c>
      <c r="F7" s="147">
        <v>0</v>
      </c>
      <c r="G7" s="148">
        <v>0</v>
      </c>
      <c r="H7" s="149">
        <v>270.048</v>
      </c>
      <c r="I7" s="149">
        <v>0</v>
      </c>
      <c r="J7" s="149">
        <v>0</v>
      </c>
      <c r="K7" s="149">
        <v>981160.48495572899</v>
      </c>
      <c r="L7" s="149">
        <v>0</v>
      </c>
      <c r="M7" s="149">
        <v>0</v>
      </c>
      <c r="N7" s="149">
        <v>188.63424000000001</v>
      </c>
      <c r="O7" s="149">
        <v>0</v>
      </c>
      <c r="P7" s="149">
        <v>188.63424000000001</v>
      </c>
      <c r="Q7" s="149">
        <v>981349.11919572903</v>
      </c>
      <c r="R7" s="149">
        <v>874250.64</v>
      </c>
      <c r="S7" s="149">
        <v>0</v>
      </c>
      <c r="T7" s="149">
        <v>0</v>
      </c>
      <c r="U7" s="149">
        <v>0</v>
      </c>
      <c r="V7" s="149">
        <v>874250.64</v>
      </c>
      <c r="W7" s="149">
        <v>1855599.7591957301</v>
      </c>
      <c r="X7" s="57"/>
      <c r="Y7" s="636" t="s">
        <v>229</v>
      </c>
      <c r="Z7" s="636"/>
      <c r="AA7" s="548">
        <f>22.118998-3.109783</f>
        <v>19.009215000000001</v>
      </c>
      <c r="AB7" s="548">
        <f>23.4686814-2.9675</f>
        <v>20.5011814</v>
      </c>
      <c r="AC7" s="548">
        <f>23.6591196-1.859</f>
        <v>21.800119600000002</v>
      </c>
      <c r="AD7" s="549">
        <f>19.37-1.93</f>
        <v>17.440000000000001</v>
      </c>
      <c r="AE7" s="549">
        <f t="shared" ref="AE7:AE13" si="13">HLOOKUP(Y7,$C$3:$W$25,23,FALSE)/1000000</f>
        <v>16.892829640728351</v>
      </c>
      <c r="AF7" s="545"/>
      <c r="AI7" s="16"/>
      <c r="AJ7" s="633"/>
      <c r="AK7" s="97" t="s">
        <v>158</v>
      </c>
      <c r="AL7" s="149">
        <v>2095.0343672399999</v>
      </c>
      <c r="AM7" s="149">
        <v>1906.4001272400001</v>
      </c>
      <c r="AN7" s="149">
        <v>0</v>
      </c>
      <c r="AO7" s="149">
        <v>0</v>
      </c>
      <c r="AP7" s="149">
        <v>0</v>
      </c>
      <c r="AQ7" s="149">
        <v>0</v>
      </c>
      <c r="AR7" s="149">
        <v>188.63424000000001</v>
      </c>
      <c r="AS7" s="149">
        <v>0</v>
      </c>
      <c r="AT7" s="149">
        <v>0</v>
      </c>
      <c r="AU7" s="149">
        <v>2095.0343672399999</v>
      </c>
      <c r="AV7" s="11"/>
      <c r="AW7" s="150" t="s">
        <v>251</v>
      </c>
      <c r="AX7" s="151">
        <v>0</v>
      </c>
      <c r="AY7" s="151">
        <v>0.59</v>
      </c>
      <c r="AZ7" s="151">
        <v>0.61</v>
      </c>
      <c r="BA7" s="151">
        <v>0.71</v>
      </c>
      <c r="BB7" s="98">
        <f>HLOOKUP(AW7,$AL$3:$AU$25,23,FALSE)/1000000</f>
        <v>1.7854616955640901</v>
      </c>
      <c r="BC7" s="57"/>
      <c r="BD7" s="645" t="s">
        <v>1281</v>
      </c>
      <c r="BE7" s="645"/>
      <c r="BF7" s="16"/>
      <c r="BG7" s="633"/>
      <c r="BH7" s="97" t="s">
        <v>158</v>
      </c>
      <c r="BI7" s="149">
        <v>0</v>
      </c>
      <c r="BJ7" s="149">
        <v>72694.378817051198</v>
      </c>
      <c r="BK7" s="149">
        <v>0</v>
      </c>
      <c r="BL7" s="149">
        <v>0</v>
      </c>
      <c r="BM7" s="149">
        <v>0</v>
      </c>
      <c r="BN7" s="149">
        <v>17.041406044799999</v>
      </c>
      <c r="BO7" s="149">
        <v>0</v>
      </c>
      <c r="BP7" s="149">
        <v>0</v>
      </c>
      <c r="BQ7" s="149">
        <v>0</v>
      </c>
      <c r="BR7" s="149">
        <v>0</v>
      </c>
      <c r="BS7" s="149">
        <v>0</v>
      </c>
      <c r="BT7" s="149">
        <v>0</v>
      </c>
      <c r="BU7" s="149">
        <v>0</v>
      </c>
      <c r="BV7" s="149">
        <v>0</v>
      </c>
      <c r="BW7" s="149">
        <v>72711.420223096007</v>
      </c>
      <c r="BX7" s="149">
        <v>55976.325700000001</v>
      </c>
      <c r="BY7" s="149">
        <v>55976.325700000001</v>
      </c>
      <c r="BZ7" s="149">
        <f t="shared" si="3"/>
        <v>128687.74592309601</v>
      </c>
      <c r="CA7" s="55"/>
      <c r="CB7" s="648"/>
      <c r="CC7" s="397" t="s">
        <v>158</v>
      </c>
      <c r="CD7" s="398">
        <f>BZ7/'2020 Normalizing Denominators'!E6</f>
        <v>346.86723968489491</v>
      </c>
      <c r="CE7" s="26"/>
      <c r="CG7" s="97" t="s">
        <v>258</v>
      </c>
      <c r="CH7" s="154">
        <v>1653000</v>
      </c>
      <c r="CI7" s="155">
        <f>1607380.25-219265-66876</f>
        <v>1321239.25</v>
      </c>
      <c r="CJ7" s="155">
        <f>1711840.29-209235.49-61451</f>
        <v>1441153.8</v>
      </c>
      <c r="CK7" s="155">
        <f>1722034.04-131075.94-28607</f>
        <v>1562351.1</v>
      </c>
      <c r="CL7" s="156">
        <f>1.419-0.1+0.018</f>
        <v>1.337</v>
      </c>
      <c r="CM7" s="156">
        <f t="shared" si="12"/>
        <v>1.2369595496732766</v>
      </c>
      <c r="CN7" s="152"/>
      <c r="CO7" s="648"/>
      <c r="CP7" s="97" t="s">
        <v>158</v>
      </c>
      <c r="CQ7" s="149">
        <v>1828.1120000000001</v>
      </c>
      <c r="CR7" s="149">
        <v>0</v>
      </c>
      <c r="CS7" s="55"/>
      <c r="CT7" s="486" t="s">
        <v>134</v>
      </c>
      <c r="CU7" s="498">
        <f t="shared" ref="CU7:CY7" si="14">SUM(CU5:CU6)</f>
        <v>3000</v>
      </c>
      <c r="CV7" s="498">
        <f t="shared" si="14"/>
        <v>3000</v>
      </c>
      <c r="CW7" s="498">
        <f t="shared" si="14"/>
        <v>4000</v>
      </c>
      <c r="CX7" s="499">
        <f t="shared" si="14"/>
        <v>0</v>
      </c>
      <c r="CY7" s="499">
        <f t="shared" si="14"/>
        <v>8.5815792966109708E-3</v>
      </c>
      <c r="CZ7" s="26"/>
      <c r="DA7" s="47"/>
      <c r="DB7" s="566" t="s">
        <v>341</v>
      </c>
      <c r="DC7" s="566"/>
      <c r="DD7" s="566"/>
      <c r="DE7" s="566"/>
      <c r="DF7" s="566"/>
      <c r="DG7" s="566"/>
      <c r="DH7" s="566"/>
      <c r="DJ7" s="633"/>
      <c r="DK7" s="150" t="s">
        <v>158</v>
      </c>
      <c r="DL7" s="157">
        <f t="shared" si="4"/>
        <v>0</v>
      </c>
      <c r="DM7" s="157">
        <f t="shared" si="5"/>
        <v>0.9997247667388357</v>
      </c>
      <c r="DN7" s="157">
        <f t="shared" si="6"/>
        <v>0</v>
      </c>
      <c r="DO7" s="157">
        <f t="shared" si="7"/>
        <v>0</v>
      </c>
      <c r="DP7" s="157">
        <f t="shared" si="8"/>
        <v>0</v>
      </c>
      <c r="DQ7" s="157">
        <f t="shared" si="9"/>
        <v>2.752332611643903E-4</v>
      </c>
      <c r="DR7" s="157">
        <f t="shared" si="10"/>
        <v>0</v>
      </c>
      <c r="DS7" s="157">
        <f t="shared" si="11"/>
        <v>0</v>
      </c>
      <c r="DT7" s="181"/>
      <c r="DU7" s="183"/>
      <c r="DV7" s="646" t="s">
        <v>160</v>
      </c>
      <c r="DW7" s="40" t="s">
        <v>19</v>
      </c>
      <c r="DX7" s="40" t="s">
        <v>342</v>
      </c>
      <c r="DY7" s="48" t="s">
        <v>223</v>
      </c>
      <c r="DZ7" s="184"/>
      <c r="EA7" s="184"/>
      <c r="EB7" s="55"/>
      <c r="EC7" s="46" t="s">
        <v>343</v>
      </c>
      <c r="ED7" s="500">
        <v>710942.1</v>
      </c>
      <c r="EE7" s="501">
        <v>771289.59999999998</v>
      </c>
      <c r="EF7" s="26"/>
    </row>
    <row r="8" spans="1:139" ht="26.65" customHeight="1" x14ac:dyDescent="0.2">
      <c r="A8" s="633" t="s">
        <v>160</v>
      </c>
      <c r="B8" s="120" t="s">
        <v>79</v>
      </c>
      <c r="C8" s="137">
        <f t="shared" ref="C8:W8" si="15">SUM(C9)</f>
        <v>0</v>
      </c>
      <c r="D8" s="137">
        <f t="shared" si="15"/>
        <v>1335305.69538028</v>
      </c>
      <c r="E8" s="137">
        <f t="shared" si="15"/>
        <v>10134.3064367155</v>
      </c>
      <c r="F8" s="137">
        <f t="shared" si="15"/>
        <v>20230.016050149101</v>
      </c>
      <c r="G8" s="137">
        <f t="shared" si="15"/>
        <v>300109.624144</v>
      </c>
      <c r="H8" s="137">
        <f t="shared" si="15"/>
        <v>6414.1906939418204</v>
      </c>
      <c r="I8" s="137">
        <f t="shared" si="15"/>
        <v>0</v>
      </c>
      <c r="J8" s="137">
        <f t="shared" si="15"/>
        <v>0</v>
      </c>
      <c r="K8" s="137">
        <f t="shared" si="15"/>
        <v>1672193.8327050901</v>
      </c>
      <c r="L8" s="137">
        <f t="shared" si="15"/>
        <v>0</v>
      </c>
      <c r="M8" s="137">
        <f t="shared" si="15"/>
        <v>0</v>
      </c>
      <c r="N8" s="137">
        <f t="shared" si="15"/>
        <v>0</v>
      </c>
      <c r="O8" s="137">
        <f t="shared" si="15"/>
        <v>0</v>
      </c>
      <c r="P8" s="137">
        <f t="shared" si="15"/>
        <v>0</v>
      </c>
      <c r="Q8" s="137">
        <f t="shared" si="15"/>
        <v>1672193.8327050901</v>
      </c>
      <c r="R8" s="137">
        <f t="shared" si="15"/>
        <v>464281.56</v>
      </c>
      <c r="S8" s="137">
        <f t="shared" si="15"/>
        <v>0</v>
      </c>
      <c r="T8" s="137">
        <f t="shared" si="15"/>
        <v>0</v>
      </c>
      <c r="U8" s="137">
        <f t="shared" si="15"/>
        <v>0</v>
      </c>
      <c r="V8" s="137">
        <f t="shared" si="15"/>
        <v>464281.56</v>
      </c>
      <c r="W8" s="137">
        <f t="shared" si="15"/>
        <v>2136475.3927050899</v>
      </c>
      <c r="X8" s="57"/>
      <c r="Y8" s="636" t="s">
        <v>230</v>
      </c>
      <c r="Z8" s="636"/>
      <c r="AA8" s="548">
        <v>0</v>
      </c>
      <c r="AB8" s="548">
        <v>0</v>
      </c>
      <c r="AC8" s="548">
        <v>0</v>
      </c>
      <c r="AD8" s="549">
        <v>0</v>
      </c>
      <c r="AE8" s="549">
        <f t="shared" si="13"/>
        <v>1.01343064367155E-2</v>
      </c>
      <c r="AF8" s="540"/>
      <c r="AG8" s="540"/>
      <c r="AH8" s="394"/>
      <c r="AI8" s="16"/>
      <c r="AJ8" s="633" t="s">
        <v>160</v>
      </c>
      <c r="AK8" s="120" t="s">
        <v>79</v>
      </c>
      <c r="AL8" s="138">
        <f t="shared" ref="AL8:AU8" si="16">SUM(AL9)</f>
        <v>0</v>
      </c>
      <c r="AM8" s="138">
        <f t="shared" si="16"/>
        <v>0</v>
      </c>
      <c r="AN8" s="138">
        <f t="shared" si="16"/>
        <v>0</v>
      </c>
      <c r="AO8" s="138">
        <f t="shared" si="16"/>
        <v>0</v>
      </c>
      <c r="AP8" s="138">
        <f t="shared" si="16"/>
        <v>0</v>
      </c>
      <c r="AQ8" s="138">
        <f t="shared" si="16"/>
        <v>0</v>
      </c>
      <c r="AR8" s="138">
        <f t="shared" si="16"/>
        <v>0</v>
      </c>
      <c r="AS8" s="138">
        <f t="shared" si="16"/>
        <v>0</v>
      </c>
      <c r="AT8" s="138">
        <f t="shared" si="16"/>
        <v>0</v>
      </c>
      <c r="AU8" s="138">
        <f t="shared" si="16"/>
        <v>0</v>
      </c>
      <c r="AV8" s="11"/>
      <c r="AW8" s="150" t="s">
        <v>231</v>
      </c>
      <c r="AX8" s="159" t="s">
        <v>93</v>
      </c>
      <c r="AY8" s="159" t="s">
        <v>93</v>
      </c>
      <c r="AZ8" s="159" t="s">
        <v>93</v>
      </c>
      <c r="BA8" s="159" t="s">
        <v>93</v>
      </c>
      <c r="BB8" s="98">
        <f>HLOOKUP(AW8,$AL$3:$AU$25,23,FALSE)/1000000</f>
        <v>0</v>
      </c>
      <c r="BC8" s="57"/>
      <c r="BD8" s="645"/>
      <c r="BE8" s="645"/>
      <c r="BF8" s="16"/>
      <c r="BG8" s="633" t="s">
        <v>160</v>
      </c>
      <c r="BH8" s="92" t="s">
        <v>79</v>
      </c>
      <c r="BI8" s="138">
        <f t="shared" ref="BI8:BY8" si="17">SUM(BI9)</f>
        <v>0</v>
      </c>
      <c r="BJ8" s="138">
        <f t="shared" si="17"/>
        <v>98960.306268049899</v>
      </c>
      <c r="BK8" s="138">
        <f t="shared" si="17"/>
        <v>140.86685947034499</v>
      </c>
      <c r="BL8" s="138">
        <f t="shared" si="17"/>
        <v>1402.15455044547</v>
      </c>
      <c r="BM8" s="138">
        <f t="shared" si="17"/>
        <v>16837.680473561501</v>
      </c>
      <c r="BN8" s="138">
        <f t="shared" si="17"/>
        <v>404.76814516026798</v>
      </c>
      <c r="BO8" s="138">
        <f t="shared" si="17"/>
        <v>0</v>
      </c>
      <c r="BP8" s="138">
        <f t="shared" si="17"/>
        <v>0</v>
      </c>
      <c r="BQ8" s="138">
        <f t="shared" si="17"/>
        <v>0</v>
      </c>
      <c r="BR8" s="138">
        <f t="shared" si="17"/>
        <v>0</v>
      </c>
      <c r="BS8" s="138">
        <f t="shared" si="17"/>
        <v>0</v>
      </c>
      <c r="BT8" s="138">
        <f t="shared" si="17"/>
        <v>0</v>
      </c>
      <c r="BU8" s="138">
        <f t="shared" si="17"/>
        <v>0</v>
      </c>
      <c r="BV8" s="138">
        <f t="shared" si="17"/>
        <v>0</v>
      </c>
      <c r="BW8" s="138">
        <f t="shared" si="17"/>
        <v>117745.776296688</v>
      </c>
      <c r="BX8" s="138">
        <f t="shared" si="17"/>
        <v>81227.072975863004</v>
      </c>
      <c r="BY8" s="138">
        <f t="shared" si="17"/>
        <v>74998.457671586904</v>
      </c>
      <c r="BZ8" s="138">
        <f t="shared" si="3"/>
        <v>192744.2339682749</v>
      </c>
      <c r="CA8" s="55"/>
      <c r="CB8" s="646" t="s">
        <v>160</v>
      </c>
      <c r="CC8" s="396" t="s">
        <v>79</v>
      </c>
      <c r="CD8" s="399">
        <f>BZ8/'2020 Normalizing Denominators'!E7</f>
        <v>708.61850723630482</v>
      </c>
      <c r="CE8" s="26"/>
      <c r="CG8" s="97" t="s">
        <v>259</v>
      </c>
      <c r="CH8" s="154">
        <v>0</v>
      </c>
      <c r="CI8" s="155">
        <v>61.18</v>
      </c>
      <c r="CJ8" s="155">
        <v>54.38</v>
      </c>
      <c r="CK8" s="155">
        <v>50.63</v>
      </c>
      <c r="CL8" s="159" t="s">
        <v>165</v>
      </c>
      <c r="CM8" s="156">
        <f t="shared" si="12"/>
        <v>1.4086685947034498E-4</v>
      </c>
      <c r="CN8" s="152"/>
      <c r="CO8" s="646" t="s">
        <v>160</v>
      </c>
      <c r="CP8" s="92" t="s">
        <v>79</v>
      </c>
      <c r="CQ8" s="138">
        <f>SUM(CQ9)</f>
        <v>311.345802768</v>
      </c>
      <c r="CR8" s="138">
        <f>SUM(CR9)</f>
        <v>0</v>
      </c>
      <c r="CS8" s="26"/>
      <c r="CT8" s="81"/>
      <c r="CU8" s="81"/>
      <c r="CV8" s="81"/>
      <c r="CW8" s="81"/>
      <c r="CX8" s="81"/>
      <c r="CY8" s="81"/>
      <c r="DA8" s="47"/>
      <c r="DB8" s="573"/>
      <c r="DC8" s="573"/>
      <c r="DD8" s="573"/>
      <c r="DE8" s="573"/>
      <c r="DF8" s="573"/>
      <c r="DG8" s="573"/>
      <c r="DH8" s="573"/>
      <c r="DJ8" s="646" t="s">
        <v>160</v>
      </c>
      <c r="DK8" s="103" t="s">
        <v>79</v>
      </c>
      <c r="DL8" s="145">
        <f t="shared" si="4"/>
        <v>0</v>
      </c>
      <c r="DM8" s="145">
        <f t="shared" si="5"/>
        <v>0.79853523512891467</v>
      </c>
      <c r="DN8" s="145">
        <f t="shared" si="6"/>
        <v>6.0604854763286267E-3</v>
      </c>
      <c r="DO8" s="145">
        <f t="shared" si="7"/>
        <v>1.2097889404019162E-2</v>
      </c>
      <c r="DP8" s="145">
        <f t="shared" si="8"/>
        <v>0.17947059621582021</v>
      </c>
      <c r="DQ8" s="145">
        <f t="shared" si="9"/>
        <v>3.835793774915228E-3</v>
      </c>
      <c r="DR8" s="145">
        <f t="shared" si="10"/>
        <v>0</v>
      </c>
      <c r="DS8" s="145">
        <f t="shared" si="11"/>
        <v>0</v>
      </c>
      <c r="DT8" s="181"/>
      <c r="DU8" s="183"/>
      <c r="DV8" s="647"/>
      <c r="DW8" s="40" t="s">
        <v>163</v>
      </c>
      <c r="DX8" s="40" t="s">
        <v>82</v>
      </c>
      <c r="DY8" s="48" t="s">
        <v>197</v>
      </c>
      <c r="DZ8" s="161">
        <f>BW11</f>
        <v>24389.717290432902</v>
      </c>
      <c r="EA8" s="162">
        <f>DZ8/$BW$25</f>
        <v>1.5206769604963434E-2</v>
      </c>
      <c r="EB8" s="55"/>
      <c r="EC8" s="46" t="s">
        <v>344</v>
      </c>
      <c r="ED8" s="500">
        <v>3878.16968</v>
      </c>
      <c r="EE8" s="501">
        <v>47334.587903857697</v>
      </c>
      <c r="EF8" s="26"/>
    </row>
    <row r="9" spans="1:139" ht="26.65" customHeight="1" x14ac:dyDescent="0.2">
      <c r="A9" s="633"/>
      <c r="B9" s="97" t="s">
        <v>19</v>
      </c>
      <c r="C9" s="147">
        <v>0</v>
      </c>
      <c r="D9" s="147">
        <v>1335305.69538028</v>
      </c>
      <c r="E9" s="147">
        <v>10134.3064367155</v>
      </c>
      <c r="F9" s="147">
        <v>20230.016050149101</v>
      </c>
      <c r="G9" s="148">
        <v>300109.624144</v>
      </c>
      <c r="H9" s="149">
        <v>6414.1906939418204</v>
      </c>
      <c r="I9" s="149">
        <v>0</v>
      </c>
      <c r="J9" s="149">
        <v>0</v>
      </c>
      <c r="K9" s="149">
        <v>1672193.8327050901</v>
      </c>
      <c r="L9" s="149">
        <v>0</v>
      </c>
      <c r="M9" s="149">
        <v>0</v>
      </c>
      <c r="N9" s="149">
        <v>0</v>
      </c>
      <c r="O9" s="149">
        <v>0</v>
      </c>
      <c r="P9" s="149">
        <v>0</v>
      </c>
      <c r="Q9" s="149">
        <v>1672193.8327050901</v>
      </c>
      <c r="R9" s="149">
        <v>464281.56</v>
      </c>
      <c r="S9" s="149">
        <v>0</v>
      </c>
      <c r="T9" s="149">
        <v>0</v>
      </c>
      <c r="U9" s="149">
        <v>0</v>
      </c>
      <c r="V9" s="149">
        <v>464281.56</v>
      </c>
      <c r="W9" s="149">
        <v>2136475.3927050899</v>
      </c>
      <c r="X9" s="57"/>
      <c r="Y9" s="636" t="s">
        <v>231</v>
      </c>
      <c r="Z9" s="636"/>
      <c r="AA9" s="548">
        <f>0.0765452-0.001208</f>
        <v>7.5337199999999993E-2</v>
      </c>
      <c r="AB9" s="548">
        <f>0.0998808-0.001145</f>
        <v>9.8735800000000012E-2</v>
      </c>
      <c r="AC9" s="548">
        <f>0.1112244-0.0007</f>
        <v>0.11052439999999999</v>
      </c>
      <c r="AD9" s="549">
        <f>0.1-0.01</f>
        <v>9.0000000000000011E-2</v>
      </c>
      <c r="AE9" s="549">
        <f t="shared" si="13"/>
        <v>9.9808630768241868E-2</v>
      </c>
      <c r="AF9" s="540"/>
      <c r="AG9" s="540"/>
      <c r="AH9" s="394"/>
      <c r="AI9" s="16"/>
      <c r="AJ9" s="633"/>
      <c r="AK9" s="97" t="s">
        <v>19</v>
      </c>
      <c r="AL9" s="149">
        <v>0</v>
      </c>
      <c r="AM9" s="149">
        <v>0</v>
      </c>
      <c r="AN9" s="149">
        <v>0</v>
      </c>
      <c r="AO9" s="149">
        <v>0</v>
      </c>
      <c r="AP9" s="149">
        <v>0</v>
      </c>
      <c r="AQ9" s="149">
        <v>0</v>
      </c>
      <c r="AR9" s="149">
        <v>0</v>
      </c>
      <c r="AS9" s="149">
        <v>0</v>
      </c>
      <c r="AT9" s="149">
        <v>0</v>
      </c>
      <c r="AU9" s="149">
        <v>0</v>
      </c>
      <c r="AV9" s="11"/>
      <c r="AW9" s="150" t="s">
        <v>253</v>
      </c>
      <c r="AX9" s="151">
        <v>0.17</v>
      </c>
      <c r="AY9" s="151">
        <v>0.14000000000000001</v>
      </c>
      <c r="AZ9" s="151">
        <v>0.14000000000000001</v>
      </c>
      <c r="BA9" s="151">
        <v>0.14000000000000001</v>
      </c>
      <c r="BB9" s="98">
        <f>HLOOKUP(AW9,$AL$3:$AU$25,23,FALSE)/1000000+AS25/1000000</f>
        <v>1.2018854035373672E-2</v>
      </c>
      <c r="BC9" s="57"/>
      <c r="BD9" s="645"/>
      <c r="BE9" s="645"/>
      <c r="BF9" s="163"/>
      <c r="BG9" s="633"/>
      <c r="BH9" s="97" t="s">
        <v>19</v>
      </c>
      <c r="BI9" s="149">
        <v>0</v>
      </c>
      <c r="BJ9" s="149">
        <v>98960.306268049899</v>
      </c>
      <c r="BK9" s="149">
        <v>140.86685947034499</v>
      </c>
      <c r="BL9" s="149">
        <v>1402.15455044547</v>
      </c>
      <c r="BM9" s="149">
        <v>16837.680473561501</v>
      </c>
      <c r="BN9" s="149">
        <v>404.76814516026798</v>
      </c>
      <c r="BO9" s="149">
        <v>0</v>
      </c>
      <c r="BP9" s="149">
        <v>0</v>
      </c>
      <c r="BQ9" s="149">
        <v>0</v>
      </c>
      <c r="BR9" s="149">
        <v>0</v>
      </c>
      <c r="BS9" s="149">
        <v>0</v>
      </c>
      <c r="BT9" s="149">
        <v>0</v>
      </c>
      <c r="BU9" s="149">
        <v>0</v>
      </c>
      <c r="BV9" s="149">
        <v>0</v>
      </c>
      <c r="BW9" s="149">
        <v>117745.776296688</v>
      </c>
      <c r="BX9" s="149">
        <v>81227.072975863004</v>
      </c>
      <c r="BY9" s="149">
        <v>74998.457671586904</v>
      </c>
      <c r="BZ9" s="149">
        <f t="shared" si="3"/>
        <v>192744.2339682749</v>
      </c>
      <c r="CA9" s="55"/>
      <c r="CB9" s="647"/>
      <c r="CC9" s="397" t="s">
        <v>19</v>
      </c>
      <c r="CD9" s="398">
        <f>BZ9/'2020 Normalizing Denominators'!E8</f>
        <v>708.61850723630482</v>
      </c>
      <c r="CE9" s="26"/>
      <c r="CG9" s="97" t="s">
        <v>260</v>
      </c>
      <c r="CH9" s="154">
        <v>9000</v>
      </c>
      <c r="CI9" s="155">
        <f>6124.79-81.7</f>
        <v>6043.09</v>
      </c>
      <c r="CJ9" s="155">
        <f>7331.13-77.42</f>
        <v>7253.71</v>
      </c>
      <c r="CK9" s="155">
        <f>7479.3-51</f>
        <v>7428.3</v>
      </c>
      <c r="CL9" s="159" t="s">
        <v>165</v>
      </c>
      <c r="CM9" s="156">
        <f t="shared" si="12"/>
        <v>6.832886418437871E-3</v>
      </c>
      <c r="CN9" s="152"/>
      <c r="CO9" s="647"/>
      <c r="CP9" s="97" t="s">
        <v>19</v>
      </c>
      <c r="CQ9" s="149">
        <v>311.345802768</v>
      </c>
      <c r="CR9" s="149">
        <v>0</v>
      </c>
      <c r="CS9" s="26"/>
      <c r="DA9" s="47"/>
      <c r="DB9" s="573"/>
      <c r="DC9" s="573"/>
      <c r="DD9" s="573"/>
      <c r="DE9" s="573"/>
      <c r="DF9" s="573"/>
      <c r="DG9" s="573"/>
      <c r="DH9" s="573"/>
      <c r="DJ9" s="647"/>
      <c r="DK9" s="150" t="s">
        <v>19</v>
      </c>
      <c r="DL9" s="157">
        <f t="shared" si="4"/>
        <v>0</v>
      </c>
      <c r="DM9" s="157">
        <f t="shared" si="5"/>
        <v>0.79853523512891467</v>
      </c>
      <c r="DN9" s="157">
        <f t="shared" si="6"/>
        <v>6.0604854763286267E-3</v>
      </c>
      <c r="DO9" s="157">
        <f t="shared" si="7"/>
        <v>1.2097889404019162E-2</v>
      </c>
      <c r="DP9" s="157">
        <f t="shared" si="8"/>
        <v>0.17947059621582021</v>
      </c>
      <c r="DQ9" s="157">
        <f t="shared" si="9"/>
        <v>3.835793774915228E-3</v>
      </c>
      <c r="DR9" s="157">
        <f t="shared" si="10"/>
        <v>0</v>
      </c>
      <c r="DS9" s="157">
        <f t="shared" si="11"/>
        <v>0</v>
      </c>
      <c r="DT9" s="181"/>
      <c r="DU9" s="183"/>
      <c r="DV9" s="647"/>
      <c r="DW9" s="40" t="s">
        <v>164</v>
      </c>
      <c r="DX9" s="40" t="s">
        <v>82</v>
      </c>
      <c r="DY9" s="48" t="s">
        <v>197</v>
      </c>
      <c r="DZ9" s="161">
        <f>BW12</f>
        <v>36086.816612018898</v>
      </c>
      <c r="EA9" s="162">
        <f>DZ9/$BW$25</f>
        <v>2.2499805941202784E-2</v>
      </c>
      <c r="EB9" s="55"/>
      <c r="EC9" s="46" t="s">
        <v>345</v>
      </c>
      <c r="ED9" s="500">
        <v>5882.47</v>
      </c>
      <c r="EE9" s="500">
        <v>7248.56</v>
      </c>
      <c r="EF9" s="26"/>
    </row>
    <row r="10" spans="1:139" ht="26.65" customHeight="1" x14ac:dyDescent="0.2">
      <c r="A10" s="633"/>
      <c r="B10" s="120" t="s">
        <v>82</v>
      </c>
      <c r="C10" s="138">
        <f t="shared" ref="C10:W10" si="18">SUM(C11:C13)</f>
        <v>0</v>
      </c>
      <c r="D10" s="138">
        <f t="shared" si="18"/>
        <v>1057242.3536999999</v>
      </c>
      <c r="E10" s="138">
        <f t="shared" si="18"/>
        <v>0</v>
      </c>
      <c r="F10" s="138">
        <f t="shared" si="18"/>
        <v>30332.260000000002</v>
      </c>
      <c r="G10" s="138">
        <f t="shared" si="18"/>
        <v>295124.40000000002</v>
      </c>
      <c r="H10" s="138">
        <f t="shared" si="18"/>
        <v>350367.31709000003</v>
      </c>
      <c r="I10" s="138">
        <f t="shared" si="18"/>
        <v>0</v>
      </c>
      <c r="J10" s="138">
        <f t="shared" si="18"/>
        <v>40850.522320000004</v>
      </c>
      <c r="K10" s="138">
        <f t="shared" si="18"/>
        <v>1773916.85311</v>
      </c>
      <c r="L10" s="138">
        <f t="shared" si="18"/>
        <v>0</v>
      </c>
      <c r="M10" s="138">
        <f t="shared" si="18"/>
        <v>0</v>
      </c>
      <c r="N10" s="138">
        <f t="shared" si="18"/>
        <v>1486.8</v>
      </c>
      <c r="O10" s="138">
        <f t="shared" si="18"/>
        <v>32812.635756227101</v>
      </c>
      <c r="P10" s="138">
        <f t="shared" si="18"/>
        <v>34299.435756227103</v>
      </c>
      <c r="Q10" s="138">
        <f t="shared" si="18"/>
        <v>1808216.288866227</v>
      </c>
      <c r="R10" s="138">
        <f t="shared" si="18"/>
        <v>1958548.5</v>
      </c>
      <c r="S10" s="138">
        <f t="shared" si="18"/>
        <v>0</v>
      </c>
      <c r="T10" s="138">
        <f t="shared" si="18"/>
        <v>0</v>
      </c>
      <c r="U10" s="138">
        <f t="shared" si="18"/>
        <v>0</v>
      </c>
      <c r="V10" s="138">
        <f t="shared" si="18"/>
        <v>1958548.5</v>
      </c>
      <c r="W10" s="138">
        <f t="shared" si="18"/>
        <v>3766764.788866227</v>
      </c>
      <c r="X10" s="57"/>
      <c r="Y10" s="636" t="s">
        <v>232</v>
      </c>
      <c r="Z10" s="636"/>
      <c r="AA10" s="548">
        <v>0.56331759999999997</v>
      </c>
      <c r="AB10" s="548">
        <v>0.86468800000000001</v>
      </c>
      <c r="AC10" s="548">
        <v>0.76953439999999995</v>
      </c>
      <c r="AD10" s="549">
        <f>2.03-0.01</f>
        <v>2.02</v>
      </c>
      <c r="AE10" s="549">
        <f t="shared" si="13"/>
        <v>3.0849140241440001</v>
      </c>
      <c r="AF10" s="540"/>
      <c r="AG10" s="540"/>
      <c r="AH10" s="394"/>
      <c r="AI10" s="16"/>
      <c r="AJ10" s="633"/>
      <c r="AK10" s="120" t="s">
        <v>82</v>
      </c>
      <c r="AL10" s="138">
        <f t="shared" ref="AL10:AU10" si="19">SUM(AL11:AL13)</f>
        <v>4250.8803710592101</v>
      </c>
      <c r="AM10" s="138">
        <f t="shared" si="19"/>
        <v>0</v>
      </c>
      <c r="AN10" s="138">
        <f t="shared" si="19"/>
        <v>0</v>
      </c>
      <c r="AO10" s="138">
        <f t="shared" si="19"/>
        <v>0</v>
      </c>
      <c r="AP10" s="138">
        <f t="shared" si="19"/>
        <v>0</v>
      </c>
      <c r="AQ10" s="138">
        <f t="shared" si="19"/>
        <v>0</v>
      </c>
      <c r="AR10" s="138">
        <f t="shared" si="19"/>
        <v>1486.8</v>
      </c>
      <c r="AS10" s="138">
        <f t="shared" si="19"/>
        <v>2764.0803710592099</v>
      </c>
      <c r="AT10" s="138">
        <f t="shared" si="19"/>
        <v>0</v>
      </c>
      <c r="AU10" s="138">
        <f t="shared" si="19"/>
        <v>4250.8803710592101</v>
      </c>
      <c r="AV10" s="11"/>
      <c r="AW10" s="150" t="s">
        <v>346</v>
      </c>
      <c r="AX10" s="151">
        <v>0</v>
      </c>
      <c r="AY10" s="151">
        <v>0</v>
      </c>
      <c r="AZ10" s="151">
        <v>0</v>
      </c>
      <c r="BA10" s="151">
        <v>0.74</v>
      </c>
      <c r="BB10" s="98">
        <f>HLOOKUP(AW10,$AL$3:$AU$25,23,FALSE)/1000000</f>
        <v>2.4896799999999999</v>
      </c>
      <c r="BC10" s="57"/>
      <c r="BD10" s="645"/>
      <c r="BE10" s="645"/>
      <c r="BG10" s="633"/>
      <c r="BH10" s="92" t="s">
        <v>82</v>
      </c>
      <c r="BI10" s="138">
        <f t="shared" ref="BI10:BY10" si="20">SUM(BI11:BI13)</f>
        <v>0</v>
      </c>
      <c r="BJ10" s="138">
        <f t="shared" si="20"/>
        <v>77753.131819817805</v>
      </c>
      <c r="BK10" s="138">
        <f t="shared" si="20"/>
        <v>0</v>
      </c>
      <c r="BL10" s="138">
        <f t="shared" si="20"/>
        <v>2017.4334167017601</v>
      </c>
      <c r="BM10" s="138">
        <f t="shared" si="20"/>
        <v>16710.106287210401</v>
      </c>
      <c r="BN10" s="138">
        <f t="shared" si="20"/>
        <v>21225.268127237439</v>
      </c>
      <c r="BO10" s="138">
        <f t="shared" si="20"/>
        <v>0</v>
      </c>
      <c r="BP10" s="138">
        <f t="shared" si="20"/>
        <v>3192.9282532914003</v>
      </c>
      <c r="BQ10" s="138">
        <f t="shared" si="20"/>
        <v>2622.8687331992001</v>
      </c>
      <c r="BR10" s="138">
        <f t="shared" si="20"/>
        <v>0</v>
      </c>
      <c r="BS10" s="138">
        <f t="shared" si="20"/>
        <v>0</v>
      </c>
      <c r="BT10" s="138">
        <f t="shared" si="20"/>
        <v>0</v>
      </c>
      <c r="BU10" s="138">
        <f t="shared" si="20"/>
        <v>0</v>
      </c>
      <c r="BV10" s="138">
        <f t="shared" si="20"/>
        <v>22.630950000000002</v>
      </c>
      <c r="BW10" s="138">
        <f t="shared" si="20"/>
        <v>123544.36758745811</v>
      </c>
      <c r="BX10" s="138">
        <f t="shared" si="20"/>
        <v>9618.3300499999968</v>
      </c>
      <c r="BY10" s="138">
        <f t="shared" si="20"/>
        <v>9797.5049166666631</v>
      </c>
      <c r="BZ10" s="138">
        <f t="shared" si="3"/>
        <v>133341.87250412477</v>
      </c>
      <c r="CA10" s="55"/>
      <c r="CB10" s="647"/>
      <c r="CC10" s="396" t="s">
        <v>82</v>
      </c>
      <c r="CD10" s="399">
        <f>BZ10/'2020 Normalizing Denominators'!E9</f>
        <v>214.72121176187562</v>
      </c>
      <c r="CE10" s="26"/>
      <c r="CG10" s="97" t="s">
        <v>261</v>
      </c>
      <c r="CH10" s="154">
        <v>35000</v>
      </c>
      <c r="CI10" s="155">
        <v>29552.080000000002</v>
      </c>
      <c r="CJ10" s="155">
        <v>46646.31</v>
      </c>
      <c r="CK10" s="155">
        <v>40792.06</v>
      </c>
      <c r="CL10" s="156">
        <v>0.105</v>
      </c>
      <c r="CM10" s="156">
        <f t="shared" si="12"/>
        <v>0.16184099716077188</v>
      </c>
      <c r="CN10" s="152"/>
      <c r="CO10" s="647"/>
      <c r="CP10" s="92" t="s">
        <v>82</v>
      </c>
      <c r="CQ10" s="138">
        <f>SUM(CQ11:CQ13)</f>
        <v>77.792000000000002</v>
      </c>
      <c r="CR10" s="138">
        <f>SUM(CR11:CR13)</f>
        <v>0</v>
      </c>
      <c r="CS10" s="26"/>
      <c r="DB10" s="573"/>
      <c r="DC10" s="573"/>
      <c r="DD10" s="573"/>
      <c r="DE10" s="573"/>
      <c r="DF10" s="573"/>
      <c r="DG10" s="573"/>
      <c r="DH10" s="573"/>
      <c r="DJ10" s="647"/>
      <c r="DK10" s="103" t="s">
        <v>82</v>
      </c>
      <c r="DL10" s="145">
        <f t="shared" si="4"/>
        <v>0</v>
      </c>
      <c r="DM10" s="145">
        <f t="shared" si="5"/>
        <v>0.59599318414866009</v>
      </c>
      <c r="DN10" s="145">
        <f t="shared" si="6"/>
        <v>0</v>
      </c>
      <c r="DO10" s="145">
        <f t="shared" si="7"/>
        <v>1.7099031415605537E-2</v>
      </c>
      <c r="DP10" s="145">
        <f t="shared" si="8"/>
        <v>0.16636878976745334</v>
      </c>
      <c r="DQ10" s="145">
        <f t="shared" si="9"/>
        <v>0.19751056340422166</v>
      </c>
      <c r="DR10" s="145">
        <f t="shared" si="10"/>
        <v>0</v>
      </c>
      <c r="DS10" s="145">
        <f t="shared" si="11"/>
        <v>2.3028431264059294E-2</v>
      </c>
      <c r="DT10" s="181"/>
      <c r="DU10" s="183"/>
      <c r="DV10" s="647"/>
      <c r="DW10" s="40" t="s">
        <v>29</v>
      </c>
      <c r="DX10" s="40" t="s">
        <v>82</v>
      </c>
      <c r="DY10" s="48" t="s">
        <v>197</v>
      </c>
      <c r="DZ10" s="161">
        <f>BW13</f>
        <v>63067.833685006299</v>
      </c>
      <c r="EA10" s="162">
        <f>DZ10/$BW$25</f>
        <v>3.9322227679459094E-2</v>
      </c>
      <c r="EB10" s="55"/>
      <c r="EC10" s="46" t="s">
        <v>347</v>
      </c>
      <c r="ED10" s="500">
        <v>7170.1672020219003</v>
      </c>
      <c r="EE10" s="500">
        <v>2633.9288937077599</v>
      </c>
      <c r="EF10" s="26"/>
    </row>
    <row r="11" spans="1:139" ht="26.65" customHeight="1" x14ac:dyDescent="0.2">
      <c r="A11" s="633"/>
      <c r="B11" s="97" t="s">
        <v>163</v>
      </c>
      <c r="C11" s="149">
        <v>0</v>
      </c>
      <c r="D11" s="149">
        <v>202106.41899999999</v>
      </c>
      <c r="E11" s="149">
        <v>0</v>
      </c>
      <c r="F11" s="149">
        <v>5403.44</v>
      </c>
      <c r="G11" s="149">
        <v>0</v>
      </c>
      <c r="H11" s="149">
        <v>129800.18365000001</v>
      </c>
      <c r="I11" s="149">
        <v>0</v>
      </c>
      <c r="J11" s="149">
        <v>16380.821760000001</v>
      </c>
      <c r="K11" s="149">
        <v>353690.86440999998</v>
      </c>
      <c r="L11" s="149">
        <v>0</v>
      </c>
      <c r="M11" s="149">
        <v>0</v>
      </c>
      <c r="N11" s="149">
        <v>0</v>
      </c>
      <c r="O11" s="149">
        <v>0</v>
      </c>
      <c r="P11" s="149">
        <v>0</v>
      </c>
      <c r="Q11" s="149">
        <v>353690.86440999998</v>
      </c>
      <c r="R11" s="149">
        <v>777144</v>
      </c>
      <c r="S11" s="149">
        <v>0</v>
      </c>
      <c r="T11" s="149">
        <v>0</v>
      </c>
      <c r="U11" s="149">
        <v>0</v>
      </c>
      <c r="V11" s="149">
        <v>777144</v>
      </c>
      <c r="W11" s="149">
        <v>1130834.8644099999</v>
      </c>
      <c r="X11" s="57"/>
      <c r="Y11" s="636" t="s">
        <v>233</v>
      </c>
      <c r="Z11" s="636"/>
      <c r="AA11" s="548">
        <f>0.4373884-0.077363</f>
        <v>0.3600254</v>
      </c>
      <c r="AB11" s="548">
        <f>0.47817676-0.0831138</f>
        <v>0.39506295999999996</v>
      </c>
      <c r="AC11" s="548">
        <f>0.45976136-0.0837</f>
        <v>0.37606136000000001</v>
      </c>
      <c r="AD11" s="549">
        <f>0.41-0.06</f>
        <v>0.35</v>
      </c>
      <c r="AE11" s="549">
        <f t="shared" si="13"/>
        <v>0.39897745359262743</v>
      </c>
      <c r="AF11" s="540"/>
      <c r="AG11" s="540"/>
      <c r="AH11" s="394"/>
      <c r="AI11" s="16"/>
      <c r="AJ11" s="633"/>
      <c r="AK11" s="97" t="s">
        <v>163</v>
      </c>
      <c r="AL11" s="149">
        <v>0</v>
      </c>
      <c r="AM11" s="149">
        <v>0</v>
      </c>
      <c r="AN11" s="149">
        <v>0</v>
      </c>
      <c r="AO11" s="149">
        <v>0</v>
      </c>
      <c r="AP11" s="149">
        <v>0</v>
      </c>
      <c r="AQ11" s="149">
        <v>0</v>
      </c>
      <c r="AR11" s="149">
        <v>0</v>
      </c>
      <c r="AS11" s="149">
        <v>0</v>
      </c>
      <c r="AT11" s="149">
        <v>0</v>
      </c>
      <c r="AU11" s="149">
        <v>0</v>
      </c>
      <c r="AV11" s="11"/>
      <c r="AW11" s="120" t="s">
        <v>254</v>
      </c>
      <c r="AX11" s="164">
        <v>0</v>
      </c>
      <c r="AY11" s="164">
        <v>0</v>
      </c>
      <c r="AZ11" s="164">
        <v>0</v>
      </c>
      <c r="BA11" s="164">
        <v>0</v>
      </c>
      <c r="BB11" s="164">
        <f>HLOOKUP(AW11,$AL$3:$AU$25,23,FALSE)/1000000</f>
        <v>0</v>
      </c>
      <c r="BC11" s="57"/>
      <c r="BD11" s="645"/>
      <c r="BE11" s="645"/>
      <c r="BF11" s="16"/>
      <c r="BG11" s="633"/>
      <c r="BH11" s="97" t="s">
        <v>163</v>
      </c>
      <c r="BI11" s="149">
        <v>0</v>
      </c>
      <c r="BJ11" s="149">
        <v>14864.0815700979</v>
      </c>
      <c r="BK11" s="149">
        <v>0</v>
      </c>
      <c r="BL11" s="149">
        <v>359.38899446144001</v>
      </c>
      <c r="BM11" s="149">
        <v>0</v>
      </c>
      <c r="BN11" s="149">
        <v>7863.3010744783996</v>
      </c>
      <c r="BO11" s="149">
        <v>0</v>
      </c>
      <c r="BP11" s="149">
        <v>1280.3456513952001</v>
      </c>
      <c r="BQ11" s="149">
        <v>0</v>
      </c>
      <c r="BR11" s="149">
        <v>0</v>
      </c>
      <c r="BS11" s="149">
        <v>0</v>
      </c>
      <c r="BT11" s="149">
        <v>0</v>
      </c>
      <c r="BU11" s="149">
        <v>0</v>
      </c>
      <c r="BV11" s="149">
        <v>22.6</v>
      </c>
      <c r="BW11" s="149">
        <v>24389.717290432902</v>
      </c>
      <c r="BX11" s="149">
        <v>101.460466666667</v>
      </c>
      <c r="BY11" s="149">
        <v>280.63533333333299</v>
      </c>
      <c r="BZ11" s="149">
        <f t="shared" si="3"/>
        <v>24670.352623766234</v>
      </c>
      <c r="CA11" s="55"/>
      <c r="CB11" s="647"/>
      <c r="CC11" s="397" t="s">
        <v>163</v>
      </c>
      <c r="CD11" s="153">
        <f>BZ11/'2020 Normalizing Denominators'!E10</f>
        <v>122.13045853349621</v>
      </c>
      <c r="CE11" s="26"/>
      <c r="CG11" s="97" t="s">
        <v>262</v>
      </c>
      <c r="CH11" s="154">
        <v>34000</v>
      </c>
      <c r="CI11" s="155">
        <f>30634.67-4688.2</f>
        <v>25946.469999999998</v>
      </c>
      <c r="CJ11" s="155">
        <f>33901.87-5036.7</f>
        <v>28865.170000000002</v>
      </c>
      <c r="CK11" s="155">
        <f>32712.77-5070.27</f>
        <v>27642.5</v>
      </c>
      <c r="CL11" s="159" t="s">
        <v>165</v>
      </c>
      <c r="CM11" s="156">
        <f t="shared" si="12"/>
        <v>2.4203671562533152E-2</v>
      </c>
      <c r="CN11" s="152"/>
      <c r="CO11" s="647"/>
      <c r="CP11" s="97" t="s">
        <v>163</v>
      </c>
      <c r="CQ11" s="149">
        <v>77.792000000000002</v>
      </c>
      <c r="CR11" s="149">
        <v>0</v>
      </c>
      <c r="CS11" s="26"/>
      <c r="DJ11" s="647"/>
      <c r="DK11" s="150" t="s">
        <v>163</v>
      </c>
      <c r="DL11" s="157">
        <f t="shared" si="4"/>
        <v>0</v>
      </c>
      <c r="DM11" s="157">
        <f t="shared" si="5"/>
        <v>0.57142108925300761</v>
      </c>
      <c r="DN11" s="157">
        <f t="shared" si="6"/>
        <v>0</v>
      </c>
      <c r="DO11" s="157">
        <f t="shared" si="7"/>
        <v>1.5277295920587615E-2</v>
      </c>
      <c r="DP11" s="157">
        <f t="shared" si="8"/>
        <v>0</v>
      </c>
      <c r="DQ11" s="157">
        <f t="shared" si="9"/>
        <v>0.36698766270517824</v>
      </c>
      <c r="DR11" s="157">
        <f t="shared" si="10"/>
        <v>0</v>
      </c>
      <c r="DS11" s="157">
        <f t="shared" si="11"/>
        <v>4.6313952121226638E-2</v>
      </c>
      <c r="DT11" s="181"/>
      <c r="DU11" s="183"/>
      <c r="DV11" s="648"/>
      <c r="DW11" s="40" t="s">
        <v>25</v>
      </c>
      <c r="DX11" s="40" t="s">
        <v>86</v>
      </c>
      <c r="DY11" s="48" t="s">
        <v>197</v>
      </c>
      <c r="DZ11" s="161">
        <f>BW15</f>
        <v>321155.97603273299</v>
      </c>
      <c r="EA11" s="162">
        <f>DZ11/$BW$25</f>
        <v>0.20023786568049415</v>
      </c>
      <c r="EB11" s="55"/>
      <c r="EC11" s="46" t="s">
        <v>348</v>
      </c>
      <c r="ED11" s="500">
        <v>20400</v>
      </c>
      <c r="EE11" s="500">
        <v>20400</v>
      </c>
      <c r="EF11" s="26"/>
    </row>
    <row r="12" spans="1:139" ht="26.65" customHeight="1" x14ac:dyDescent="0.2">
      <c r="A12" s="633"/>
      <c r="B12" s="97" t="s">
        <v>164</v>
      </c>
      <c r="C12" s="149">
        <v>0</v>
      </c>
      <c r="D12" s="149">
        <v>270238.05920000002</v>
      </c>
      <c r="E12" s="149">
        <v>0</v>
      </c>
      <c r="F12" s="149">
        <v>5616.87</v>
      </c>
      <c r="G12" s="149">
        <v>0</v>
      </c>
      <c r="H12" s="149">
        <v>216472.6335</v>
      </c>
      <c r="I12" s="149">
        <v>0</v>
      </c>
      <c r="J12" s="149">
        <v>24469.700560000001</v>
      </c>
      <c r="K12" s="149">
        <v>516797.26325999998</v>
      </c>
      <c r="L12" s="149">
        <v>0</v>
      </c>
      <c r="M12" s="149">
        <v>0</v>
      </c>
      <c r="N12" s="149">
        <v>1486.8</v>
      </c>
      <c r="O12" s="149">
        <v>10111.7008168873</v>
      </c>
      <c r="P12" s="149">
        <v>11598.500816887299</v>
      </c>
      <c r="Q12" s="149">
        <v>528395.76407688705</v>
      </c>
      <c r="R12" s="149">
        <v>412048.5</v>
      </c>
      <c r="S12" s="149">
        <v>0</v>
      </c>
      <c r="T12" s="149">
        <v>0</v>
      </c>
      <c r="U12" s="149">
        <v>0</v>
      </c>
      <c r="V12" s="149">
        <v>412048.5</v>
      </c>
      <c r="W12" s="149">
        <v>940444.26407688705</v>
      </c>
      <c r="X12" s="57"/>
      <c r="Y12" s="636" t="s">
        <v>234</v>
      </c>
      <c r="Z12" s="636"/>
      <c r="AA12" s="548">
        <v>0</v>
      </c>
      <c r="AB12" s="548">
        <v>1.4</v>
      </c>
      <c r="AC12" s="548">
        <v>1.5</v>
      </c>
      <c r="AD12" s="549">
        <v>1.9</v>
      </c>
      <c r="AE12" s="549">
        <f t="shared" si="13"/>
        <v>1.8712105662067915</v>
      </c>
      <c r="AF12" s="540"/>
      <c r="AG12" s="540"/>
      <c r="AH12" s="394"/>
      <c r="AJ12" s="633"/>
      <c r="AK12" s="97" t="s">
        <v>164</v>
      </c>
      <c r="AL12" s="149">
        <v>4250.8803710592101</v>
      </c>
      <c r="AM12" s="149">
        <v>0</v>
      </c>
      <c r="AN12" s="149">
        <v>0</v>
      </c>
      <c r="AO12" s="149">
        <v>0</v>
      </c>
      <c r="AP12" s="149">
        <v>0</v>
      </c>
      <c r="AQ12" s="149">
        <v>0</v>
      </c>
      <c r="AR12" s="149">
        <v>1486.8</v>
      </c>
      <c r="AS12" s="149">
        <v>2764.0803710592099</v>
      </c>
      <c r="AT12" s="149">
        <v>0</v>
      </c>
      <c r="AU12" s="149">
        <v>4250.8803710592101</v>
      </c>
      <c r="AV12" s="11"/>
      <c r="AW12" s="120" t="s">
        <v>349</v>
      </c>
      <c r="AX12" s="93">
        <f>AX5-AX11</f>
        <v>0.93340000000000012</v>
      </c>
      <c r="AY12" s="93">
        <f>AY5-AY11</f>
        <v>1.5</v>
      </c>
      <c r="AZ12" s="93">
        <f>AZ5-AZ11</f>
        <v>1.6991999999999998</v>
      </c>
      <c r="BA12" s="93">
        <f>BA5-BA11</f>
        <v>1.7699999999999998</v>
      </c>
      <c r="BB12" s="93">
        <f>BB5-BB11</f>
        <v>4.3310516352004651</v>
      </c>
      <c r="BC12" s="57"/>
      <c r="BD12" s="645"/>
      <c r="BE12" s="645"/>
      <c r="BF12" s="16"/>
      <c r="BG12" s="633"/>
      <c r="BH12" s="97" t="s">
        <v>164</v>
      </c>
      <c r="BI12" s="149">
        <v>0</v>
      </c>
      <c r="BJ12" s="149">
        <v>19878.451545705899</v>
      </c>
      <c r="BK12" s="149">
        <v>0</v>
      </c>
      <c r="BL12" s="149">
        <v>373.58446865712</v>
      </c>
      <c r="BM12" s="149">
        <v>0</v>
      </c>
      <c r="BN12" s="149">
        <v>13113.922058736</v>
      </c>
      <c r="BO12" s="149">
        <v>0</v>
      </c>
      <c r="BP12" s="149">
        <v>1912.5826018962</v>
      </c>
      <c r="BQ12" s="149">
        <v>808.27593702360002</v>
      </c>
      <c r="BR12" s="149">
        <v>0</v>
      </c>
      <c r="BS12" s="149">
        <v>0</v>
      </c>
      <c r="BT12" s="149">
        <v>0</v>
      </c>
      <c r="BU12" s="149">
        <v>0</v>
      </c>
      <c r="BV12" s="149">
        <v>0</v>
      </c>
      <c r="BW12" s="149">
        <v>36086.816612018898</v>
      </c>
      <c r="BX12" s="149">
        <v>3319.2795833333298</v>
      </c>
      <c r="BY12" s="149">
        <v>3319.2795833333298</v>
      </c>
      <c r="BZ12" s="149">
        <f t="shared" si="3"/>
        <v>39406.096195352227</v>
      </c>
      <c r="CA12" s="55"/>
      <c r="CB12" s="647"/>
      <c r="CC12" s="397" t="s">
        <v>164</v>
      </c>
      <c r="CD12" s="153">
        <f>BZ12/'2020 Normalizing Denominators'!E11</f>
        <v>394.06096195352228</v>
      </c>
      <c r="CE12" s="26"/>
      <c r="CG12" s="97" t="s">
        <v>263</v>
      </c>
      <c r="CH12" s="154">
        <v>17000</v>
      </c>
      <c r="CI12" s="155">
        <v>17413.38</v>
      </c>
      <c r="CJ12" s="155">
        <v>119272.74</v>
      </c>
      <c r="CK12" s="155">
        <v>112829.08</v>
      </c>
      <c r="CL12" s="156">
        <v>0.14799999999999999</v>
      </c>
      <c r="CM12" s="156">
        <f t="shared" si="12"/>
        <v>0.14485153265640691</v>
      </c>
      <c r="CN12" s="152"/>
      <c r="CO12" s="647"/>
      <c r="CP12" s="97" t="s">
        <v>164</v>
      </c>
      <c r="CQ12" s="149">
        <v>0</v>
      </c>
      <c r="CR12" s="149">
        <v>0</v>
      </c>
      <c r="CS12" s="26"/>
      <c r="DH12" s="7"/>
      <c r="DJ12" s="647"/>
      <c r="DK12" s="150" t="s">
        <v>164</v>
      </c>
      <c r="DL12" s="157">
        <f t="shared" si="4"/>
        <v>0</v>
      </c>
      <c r="DM12" s="157">
        <f t="shared" si="5"/>
        <v>0.52290923039204185</v>
      </c>
      <c r="DN12" s="157">
        <f t="shared" si="6"/>
        <v>0</v>
      </c>
      <c r="DO12" s="157">
        <f t="shared" si="7"/>
        <v>1.0868614056832109E-2</v>
      </c>
      <c r="DP12" s="157">
        <f t="shared" si="8"/>
        <v>0</v>
      </c>
      <c r="DQ12" s="157">
        <f t="shared" si="9"/>
        <v>0.41887341301784897</v>
      </c>
      <c r="DR12" s="157">
        <f t="shared" si="10"/>
        <v>0</v>
      </c>
      <c r="DS12" s="157">
        <f t="shared" si="11"/>
        <v>4.7348742533277172E-2</v>
      </c>
      <c r="DT12" s="181"/>
      <c r="DU12" s="183"/>
      <c r="DV12" s="633" t="s">
        <v>166</v>
      </c>
      <c r="DW12" s="40" t="s">
        <v>11</v>
      </c>
      <c r="DX12" s="40" t="s">
        <v>89</v>
      </c>
      <c r="DY12" s="48" t="s">
        <v>223</v>
      </c>
      <c r="DZ12" s="184"/>
      <c r="EA12" s="184"/>
      <c r="EB12" s="55"/>
      <c r="EC12" s="46" t="s">
        <v>350</v>
      </c>
      <c r="ED12" s="358" t="s">
        <v>16</v>
      </c>
      <c r="EE12" s="358" t="s">
        <v>16</v>
      </c>
      <c r="EF12" s="26"/>
    </row>
    <row r="13" spans="1:139" ht="26.65" customHeight="1" x14ac:dyDescent="0.2">
      <c r="A13" s="633"/>
      <c r="B13" s="97" t="s">
        <v>29</v>
      </c>
      <c r="C13" s="149">
        <v>0</v>
      </c>
      <c r="D13" s="149">
        <v>584897.87549999997</v>
      </c>
      <c r="E13" s="149">
        <v>0</v>
      </c>
      <c r="F13" s="149">
        <v>19311.95</v>
      </c>
      <c r="G13" s="149">
        <v>295124.40000000002</v>
      </c>
      <c r="H13" s="149">
        <v>4094.4999400000002</v>
      </c>
      <c r="I13" s="149">
        <v>0</v>
      </c>
      <c r="J13" s="149">
        <v>0</v>
      </c>
      <c r="K13" s="149">
        <v>903428.72543999995</v>
      </c>
      <c r="L13" s="149">
        <v>0</v>
      </c>
      <c r="M13" s="149">
        <v>0</v>
      </c>
      <c r="N13" s="149">
        <v>0</v>
      </c>
      <c r="O13" s="149">
        <v>22700.934939339801</v>
      </c>
      <c r="P13" s="149">
        <v>22700.934939339801</v>
      </c>
      <c r="Q13" s="149">
        <v>926129.66037934006</v>
      </c>
      <c r="R13" s="149">
        <v>769356</v>
      </c>
      <c r="S13" s="149">
        <v>0</v>
      </c>
      <c r="T13" s="149">
        <v>0</v>
      </c>
      <c r="U13" s="149">
        <v>0</v>
      </c>
      <c r="V13" s="149">
        <v>769356</v>
      </c>
      <c r="W13" s="149">
        <v>1695485.6603793399</v>
      </c>
      <c r="X13" s="57"/>
      <c r="Y13" s="636" t="s">
        <v>235</v>
      </c>
      <c r="Z13" s="636"/>
      <c r="AA13" s="548">
        <v>0.2</v>
      </c>
      <c r="AB13" s="548">
        <v>0</v>
      </c>
      <c r="AC13" s="548">
        <v>0</v>
      </c>
      <c r="AD13" s="549">
        <v>0</v>
      </c>
      <c r="AE13" s="549">
        <f t="shared" si="13"/>
        <v>9.6915324820000009E-2</v>
      </c>
      <c r="AF13" s="540"/>
      <c r="AG13" s="540"/>
      <c r="AH13" s="394"/>
      <c r="AJ13" s="633"/>
      <c r="AK13" s="97" t="s">
        <v>29</v>
      </c>
      <c r="AL13" s="149">
        <v>0</v>
      </c>
      <c r="AM13" s="149">
        <v>0</v>
      </c>
      <c r="AN13" s="149">
        <v>0</v>
      </c>
      <c r="AO13" s="149">
        <v>0</v>
      </c>
      <c r="AP13" s="149">
        <v>0</v>
      </c>
      <c r="AQ13" s="149">
        <v>0</v>
      </c>
      <c r="AR13" s="149">
        <v>0</v>
      </c>
      <c r="AS13" s="149">
        <v>0</v>
      </c>
      <c r="AT13" s="149">
        <v>0</v>
      </c>
      <c r="AU13" s="149">
        <v>0</v>
      </c>
      <c r="AV13" s="57"/>
      <c r="AW13" s="566" t="s">
        <v>351</v>
      </c>
      <c r="AX13" s="566"/>
      <c r="AY13" s="566"/>
      <c r="AZ13" s="566"/>
      <c r="BA13" s="566"/>
      <c r="BB13" s="566"/>
      <c r="BC13" s="23"/>
      <c r="BD13" s="525"/>
      <c r="BE13" s="525"/>
      <c r="BF13" s="16"/>
      <c r="BG13" s="633"/>
      <c r="BH13" s="97" t="s">
        <v>29</v>
      </c>
      <c r="BI13" s="149">
        <v>0</v>
      </c>
      <c r="BJ13" s="149">
        <v>43010.598704014003</v>
      </c>
      <c r="BK13" s="149">
        <v>0</v>
      </c>
      <c r="BL13" s="149">
        <v>1284.4599535832001</v>
      </c>
      <c r="BM13" s="149">
        <v>16710.106287210401</v>
      </c>
      <c r="BN13" s="149">
        <v>248.04499402304</v>
      </c>
      <c r="BO13" s="149">
        <v>0</v>
      </c>
      <c r="BP13" s="149">
        <v>0</v>
      </c>
      <c r="BQ13" s="149">
        <v>1814.5927961755999</v>
      </c>
      <c r="BR13" s="149">
        <v>0</v>
      </c>
      <c r="BS13" s="149">
        <v>0</v>
      </c>
      <c r="BT13" s="149">
        <v>0</v>
      </c>
      <c r="BU13" s="149">
        <v>0</v>
      </c>
      <c r="BV13" s="149">
        <v>3.0949999999999998E-2</v>
      </c>
      <c r="BW13" s="149">
        <v>63067.833685006299</v>
      </c>
      <c r="BX13" s="149">
        <v>6197.59</v>
      </c>
      <c r="BY13" s="149">
        <v>6197.59</v>
      </c>
      <c r="BZ13" s="149">
        <f t="shared" si="3"/>
        <v>69265.423685006303</v>
      </c>
      <c r="CA13" s="55"/>
      <c r="CB13" s="647"/>
      <c r="CC13" s="397" t="s">
        <v>29</v>
      </c>
      <c r="CD13" s="153">
        <f>BZ13/'2020 Normalizing Denominators'!E12</f>
        <v>217.13298960817022</v>
      </c>
      <c r="CE13" s="26"/>
      <c r="CG13" s="97" t="s">
        <v>264</v>
      </c>
      <c r="CH13" s="154">
        <v>0</v>
      </c>
      <c r="CI13" s="155">
        <v>0</v>
      </c>
      <c r="CJ13" s="155">
        <v>0</v>
      </c>
      <c r="CK13" s="155">
        <v>76.59</v>
      </c>
      <c r="CL13" s="159" t="s">
        <v>165</v>
      </c>
      <c r="CM13" s="156">
        <f t="shared" si="12"/>
        <v>7.1113041959871108E-3</v>
      </c>
      <c r="CN13" s="152"/>
      <c r="CO13" s="647"/>
      <c r="CP13" s="97" t="s">
        <v>29</v>
      </c>
      <c r="CQ13" s="149">
        <v>0</v>
      </c>
      <c r="CR13" s="149">
        <v>0</v>
      </c>
      <c r="CS13" s="26"/>
      <c r="DH13" s="7"/>
      <c r="DJ13" s="647"/>
      <c r="DK13" s="150" t="s">
        <v>29</v>
      </c>
      <c r="DL13" s="157">
        <f t="shared" si="4"/>
        <v>0</v>
      </c>
      <c r="DM13" s="157">
        <f t="shared" si="5"/>
        <v>0.64742005542842929</v>
      </c>
      <c r="DN13" s="157">
        <f t="shared" si="6"/>
        <v>0</v>
      </c>
      <c r="DO13" s="157">
        <f t="shared" si="7"/>
        <v>2.1376285097193956E-2</v>
      </c>
      <c r="DP13" s="157">
        <f t="shared" si="8"/>
        <v>0.32667148131277823</v>
      </c>
      <c r="DQ13" s="157">
        <f t="shared" si="9"/>
        <v>4.5321781615985718E-3</v>
      </c>
      <c r="DR13" s="157">
        <f t="shared" si="10"/>
        <v>0</v>
      </c>
      <c r="DS13" s="157">
        <f t="shared" si="11"/>
        <v>0</v>
      </c>
      <c r="DT13" s="181"/>
      <c r="DU13" s="185"/>
      <c r="DV13" s="633"/>
      <c r="DW13" s="40" t="s">
        <v>167</v>
      </c>
      <c r="DX13" s="40" t="s">
        <v>94</v>
      </c>
      <c r="DY13" s="48" t="s">
        <v>223</v>
      </c>
      <c r="DZ13" s="184"/>
      <c r="EA13" s="184"/>
      <c r="EB13" s="55"/>
      <c r="EC13" s="46" t="s">
        <v>352</v>
      </c>
      <c r="ED13" s="500">
        <v>48089.506126013097</v>
      </c>
      <c r="EE13" s="165">
        <v>0</v>
      </c>
      <c r="EF13" s="68"/>
      <c r="EG13" s="47"/>
      <c r="EH13" s="47"/>
      <c r="EI13" s="47"/>
    </row>
    <row r="14" spans="1:139" ht="26.65" customHeight="1" x14ac:dyDescent="0.2">
      <c r="A14" s="633"/>
      <c r="B14" s="120" t="s">
        <v>86</v>
      </c>
      <c r="C14" s="137">
        <f t="shared" ref="C14:W14" si="21">C15</f>
        <v>0</v>
      </c>
      <c r="D14" s="137">
        <f t="shared" si="21"/>
        <v>4262654.3744400004</v>
      </c>
      <c r="E14" s="137">
        <f t="shared" si="21"/>
        <v>0</v>
      </c>
      <c r="F14" s="137">
        <f t="shared" si="21"/>
        <v>46143.112000000001</v>
      </c>
      <c r="G14" s="137">
        <f t="shared" si="21"/>
        <v>0</v>
      </c>
      <c r="H14" s="137">
        <f t="shared" si="21"/>
        <v>6027.8703999999998</v>
      </c>
      <c r="I14" s="137">
        <f t="shared" si="21"/>
        <v>0</v>
      </c>
      <c r="J14" s="137">
        <f t="shared" si="21"/>
        <v>23887.552500000002</v>
      </c>
      <c r="K14" s="137">
        <f t="shared" si="21"/>
        <v>4338712.9093399998</v>
      </c>
      <c r="L14" s="137">
        <f t="shared" si="21"/>
        <v>0</v>
      </c>
      <c r="M14" s="137">
        <f t="shared" si="21"/>
        <v>0</v>
      </c>
      <c r="N14" s="137">
        <f t="shared" si="21"/>
        <v>0</v>
      </c>
      <c r="O14" s="137">
        <f t="shared" si="21"/>
        <v>0</v>
      </c>
      <c r="P14" s="137">
        <f t="shared" si="21"/>
        <v>0</v>
      </c>
      <c r="Q14" s="137">
        <f t="shared" si="21"/>
        <v>4338712.9093399998</v>
      </c>
      <c r="R14" s="137">
        <f t="shared" si="21"/>
        <v>4555883.7</v>
      </c>
      <c r="S14" s="137">
        <f t="shared" si="21"/>
        <v>0</v>
      </c>
      <c r="T14" s="137">
        <f t="shared" si="21"/>
        <v>0</v>
      </c>
      <c r="U14" s="137">
        <f t="shared" si="21"/>
        <v>0</v>
      </c>
      <c r="V14" s="137">
        <f t="shared" si="21"/>
        <v>4555883.7</v>
      </c>
      <c r="W14" s="137">
        <f t="shared" si="21"/>
        <v>8894596.6093400009</v>
      </c>
      <c r="X14" s="57"/>
      <c r="Y14" s="638" t="s">
        <v>236</v>
      </c>
      <c r="Z14" s="638"/>
      <c r="AA14" s="550">
        <v>20.211645407999999</v>
      </c>
      <c r="AB14" s="550">
        <v>23.258235330000002</v>
      </c>
      <c r="AC14" s="550">
        <v>24.556335688000001</v>
      </c>
      <c r="AD14" s="550">
        <f>SUM(AD6:AD13)</f>
        <v>21.8</v>
      </c>
      <c r="AE14" s="550">
        <f>SUM(AE6:AE13)</f>
        <v>22.454789946696724</v>
      </c>
      <c r="AF14" s="541"/>
      <c r="AG14" s="541"/>
      <c r="AH14" s="394"/>
      <c r="AJ14" s="633"/>
      <c r="AK14" s="120" t="s">
        <v>86</v>
      </c>
      <c r="AL14" s="138">
        <f t="shared" ref="AL14:AU14" si="22">AL15</f>
        <v>0</v>
      </c>
      <c r="AM14" s="138">
        <f t="shared" si="22"/>
        <v>0</v>
      </c>
      <c r="AN14" s="138">
        <f t="shared" si="22"/>
        <v>0</v>
      </c>
      <c r="AO14" s="138">
        <f t="shared" si="22"/>
        <v>0</v>
      </c>
      <c r="AP14" s="138">
        <f t="shared" si="22"/>
        <v>0</v>
      </c>
      <c r="AQ14" s="138">
        <f t="shared" si="22"/>
        <v>0</v>
      </c>
      <c r="AR14" s="138">
        <f t="shared" si="22"/>
        <v>0</v>
      </c>
      <c r="AS14" s="138">
        <f t="shared" si="22"/>
        <v>0</v>
      </c>
      <c r="AT14" s="138">
        <f t="shared" si="22"/>
        <v>0</v>
      </c>
      <c r="AU14" s="138">
        <f t="shared" si="22"/>
        <v>0</v>
      </c>
      <c r="AV14" s="57"/>
      <c r="AW14" s="573"/>
      <c r="AX14" s="573"/>
      <c r="AY14" s="573"/>
      <c r="AZ14" s="573"/>
      <c r="BA14" s="573"/>
      <c r="BB14" s="573"/>
      <c r="BC14" s="23"/>
      <c r="BD14" s="525"/>
      <c r="BE14" s="525"/>
      <c r="BF14" s="16"/>
      <c r="BG14" s="633"/>
      <c r="BH14" s="92" t="s">
        <v>86</v>
      </c>
      <c r="BI14" s="138">
        <f t="shared" ref="BI14:BY14" si="23">BI15</f>
        <v>0</v>
      </c>
      <c r="BJ14" s="138">
        <f t="shared" si="23"/>
        <v>315907.87328237301</v>
      </c>
      <c r="BK14" s="138">
        <f t="shared" si="23"/>
        <v>0</v>
      </c>
      <c r="BL14" s="138">
        <f t="shared" si="23"/>
        <v>3198.2067785872</v>
      </c>
      <c r="BM14" s="138">
        <f t="shared" si="23"/>
        <v>0</v>
      </c>
      <c r="BN14" s="138">
        <f t="shared" si="23"/>
        <v>380.38936437903999</v>
      </c>
      <c r="BO14" s="138">
        <f t="shared" si="23"/>
        <v>0</v>
      </c>
      <c r="BP14" s="138">
        <f t="shared" si="23"/>
        <v>1669.5039823939601</v>
      </c>
      <c r="BQ14" s="138">
        <f t="shared" si="23"/>
        <v>0</v>
      </c>
      <c r="BR14" s="138">
        <f t="shared" si="23"/>
        <v>0</v>
      </c>
      <c r="BS14" s="138">
        <f t="shared" si="23"/>
        <v>0</v>
      </c>
      <c r="BT14" s="138">
        <f t="shared" si="23"/>
        <v>0</v>
      </c>
      <c r="BU14" s="138">
        <f t="shared" si="23"/>
        <v>0</v>
      </c>
      <c r="BV14" s="138">
        <f t="shared" si="23"/>
        <v>2.6250000000000002E-3</v>
      </c>
      <c r="BW14" s="138">
        <f t="shared" si="23"/>
        <v>321155.97603273299</v>
      </c>
      <c r="BX14" s="138">
        <f t="shared" si="23"/>
        <v>577458.258975</v>
      </c>
      <c r="BY14" s="138">
        <f t="shared" si="23"/>
        <v>577458.258975</v>
      </c>
      <c r="BZ14" s="138">
        <f t="shared" si="3"/>
        <v>898614.23500773299</v>
      </c>
      <c r="CA14" s="55"/>
      <c r="CB14" s="647"/>
      <c r="CC14" s="120" t="s">
        <v>86</v>
      </c>
      <c r="CD14" s="399">
        <f>BZ14/'2020 Normalizing Denominators'!E13</f>
        <v>633.27289288776115</v>
      </c>
      <c r="CE14" s="26"/>
      <c r="CG14" s="97" t="s">
        <v>265</v>
      </c>
      <c r="CH14" s="154">
        <v>13000</v>
      </c>
      <c r="CI14" s="155">
        <v>11648.55</v>
      </c>
      <c r="CJ14" s="155">
        <v>93.63</v>
      </c>
      <c r="CK14" s="155">
        <v>85.32</v>
      </c>
      <c r="CL14" s="159" t="s">
        <v>165</v>
      </c>
      <c r="CM14" s="156">
        <f t="shared" si="12"/>
        <v>9.10598734353321E-3</v>
      </c>
      <c r="CN14" s="152"/>
      <c r="CO14" s="647"/>
      <c r="CP14" s="92" t="s">
        <v>86</v>
      </c>
      <c r="CQ14" s="138">
        <f>CQ15</f>
        <v>2024.0219999999999</v>
      </c>
      <c r="CR14" s="138">
        <f>CR15</f>
        <v>1895.904</v>
      </c>
      <c r="CS14" s="26"/>
      <c r="DC14" s="7"/>
      <c r="DJ14" s="647"/>
      <c r="DK14" s="103" t="s">
        <v>86</v>
      </c>
      <c r="DL14" s="145">
        <f t="shared" si="4"/>
        <v>0</v>
      </c>
      <c r="DM14" s="145">
        <f t="shared" si="5"/>
        <v>0.9824697931185381</v>
      </c>
      <c r="DN14" s="145">
        <f t="shared" si="6"/>
        <v>0</v>
      </c>
      <c r="DO14" s="145">
        <f t="shared" si="7"/>
        <v>1.0635207482999662E-2</v>
      </c>
      <c r="DP14" s="145">
        <f t="shared" si="8"/>
        <v>0</v>
      </c>
      <c r="DQ14" s="145">
        <f t="shared" si="9"/>
        <v>1.3893222543081222E-3</v>
      </c>
      <c r="DR14" s="145">
        <f t="shared" si="10"/>
        <v>0</v>
      </c>
      <c r="DS14" s="145">
        <f t="shared" si="11"/>
        <v>5.5056771441541977E-3</v>
      </c>
      <c r="DT14" s="181"/>
      <c r="DU14" s="185"/>
      <c r="DV14" s="633"/>
      <c r="DW14" s="40" t="s">
        <v>20</v>
      </c>
      <c r="DX14" s="40" t="s">
        <v>97</v>
      </c>
      <c r="DY14" s="48" t="s">
        <v>223</v>
      </c>
      <c r="DZ14" s="184"/>
      <c r="EA14" s="184"/>
      <c r="EB14" s="55"/>
      <c r="EC14" s="46" t="s">
        <v>353</v>
      </c>
      <c r="ED14" s="500">
        <v>227475.30479793</v>
      </c>
      <c r="EE14" s="501">
        <v>247778</v>
      </c>
      <c r="EF14" s="68"/>
      <c r="EG14" s="47"/>
      <c r="EH14" s="47"/>
      <c r="EI14" s="47"/>
    </row>
    <row r="15" spans="1:139" ht="26.65" customHeight="1" x14ac:dyDescent="0.2">
      <c r="A15" s="633"/>
      <c r="B15" s="97" t="s">
        <v>25</v>
      </c>
      <c r="C15" s="147">
        <v>0</v>
      </c>
      <c r="D15" s="147">
        <v>4262654.3744400004</v>
      </c>
      <c r="E15" s="147">
        <v>0</v>
      </c>
      <c r="F15" s="147">
        <v>46143.112000000001</v>
      </c>
      <c r="G15" s="147">
        <v>0</v>
      </c>
      <c r="H15" s="147">
        <v>6027.8703999999998</v>
      </c>
      <c r="I15" s="147">
        <v>0</v>
      </c>
      <c r="J15" s="147">
        <v>23887.552500000002</v>
      </c>
      <c r="K15" s="147">
        <v>4338712.9093399998</v>
      </c>
      <c r="L15" s="147">
        <v>0</v>
      </c>
      <c r="M15" s="147">
        <v>0</v>
      </c>
      <c r="N15" s="147">
        <v>0</v>
      </c>
      <c r="O15" s="147">
        <v>0</v>
      </c>
      <c r="P15" s="147">
        <v>0</v>
      </c>
      <c r="Q15" s="147">
        <v>4338712.9093399998</v>
      </c>
      <c r="R15" s="147">
        <v>4555883.7</v>
      </c>
      <c r="S15" s="147">
        <v>0</v>
      </c>
      <c r="T15" s="147">
        <v>0</v>
      </c>
      <c r="U15" s="147">
        <v>0</v>
      </c>
      <c r="V15" s="147">
        <v>4555883.7</v>
      </c>
      <c r="W15" s="147">
        <v>8894596.6093400009</v>
      </c>
      <c r="X15" s="57"/>
      <c r="Y15" s="640" t="s">
        <v>354</v>
      </c>
      <c r="Z15" s="640"/>
      <c r="AA15" s="640"/>
      <c r="AB15" s="640"/>
      <c r="AC15" s="640"/>
      <c r="AD15" s="640"/>
      <c r="AE15" s="640"/>
      <c r="AF15" s="542"/>
      <c r="AG15" s="542"/>
      <c r="AH15" s="394"/>
      <c r="AJ15" s="633"/>
      <c r="AK15" s="97" t="s">
        <v>25</v>
      </c>
      <c r="AL15" s="149">
        <v>0</v>
      </c>
      <c r="AM15" s="149">
        <v>0</v>
      </c>
      <c r="AN15" s="149">
        <v>0</v>
      </c>
      <c r="AO15" s="149">
        <v>0</v>
      </c>
      <c r="AP15" s="149">
        <v>0</v>
      </c>
      <c r="AQ15" s="149">
        <v>0</v>
      </c>
      <c r="AR15" s="149">
        <v>0</v>
      </c>
      <c r="AS15" s="149">
        <v>0</v>
      </c>
      <c r="AT15" s="149">
        <v>0</v>
      </c>
      <c r="AU15" s="149">
        <v>0</v>
      </c>
      <c r="AV15" s="57"/>
      <c r="AW15" s="573"/>
      <c r="AX15" s="573"/>
      <c r="AY15" s="573"/>
      <c r="AZ15" s="573"/>
      <c r="BA15" s="573"/>
      <c r="BB15" s="573"/>
      <c r="BC15" s="23"/>
      <c r="BD15" s="525"/>
      <c r="BE15" s="525"/>
      <c r="BF15" s="16"/>
      <c r="BG15" s="633"/>
      <c r="BH15" s="97" t="s">
        <v>25</v>
      </c>
      <c r="BI15" s="149">
        <v>0</v>
      </c>
      <c r="BJ15" s="149">
        <v>315907.87328237301</v>
      </c>
      <c r="BK15" s="149">
        <v>0</v>
      </c>
      <c r="BL15" s="149">
        <v>3198.2067785872</v>
      </c>
      <c r="BM15" s="149">
        <v>0</v>
      </c>
      <c r="BN15" s="149">
        <v>380.38936437903999</v>
      </c>
      <c r="BO15" s="149">
        <v>0</v>
      </c>
      <c r="BP15" s="149">
        <v>1669.5039823939601</v>
      </c>
      <c r="BQ15" s="149">
        <v>0</v>
      </c>
      <c r="BR15" s="149">
        <v>0</v>
      </c>
      <c r="BS15" s="149">
        <v>0</v>
      </c>
      <c r="BT15" s="149">
        <v>0</v>
      </c>
      <c r="BU15" s="149">
        <v>0</v>
      </c>
      <c r="BV15" s="149">
        <v>2.6250000000000002E-3</v>
      </c>
      <c r="BW15" s="149">
        <v>321155.97603273299</v>
      </c>
      <c r="BX15" s="149">
        <v>577458.258975</v>
      </c>
      <c r="BY15" s="149">
        <v>577458.258975</v>
      </c>
      <c r="BZ15" s="149">
        <f t="shared" si="3"/>
        <v>898614.23500773299</v>
      </c>
      <c r="CA15" s="55"/>
      <c r="CB15" s="648"/>
      <c r="CC15" s="97" t="s">
        <v>25</v>
      </c>
      <c r="CD15" s="153">
        <f>BZ15/'2020 Normalizing Denominators'!E14</f>
        <v>633.27289288776115</v>
      </c>
      <c r="CE15" s="26"/>
      <c r="CG15" s="97" t="s">
        <v>266</v>
      </c>
      <c r="CH15" s="154">
        <v>36000</v>
      </c>
      <c r="CI15" s="155">
        <v>37500</v>
      </c>
      <c r="CJ15" s="155">
        <v>18946.919999999998</v>
      </c>
      <c r="CK15" s="155">
        <v>5459.8</v>
      </c>
      <c r="CL15" s="159" t="s">
        <v>165</v>
      </c>
      <c r="CM15" s="156">
        <f t="shared" si="12"/>
        <v>1.2644078215817301E-2</v>
      </c>
      <c r="CN15" s="152"/>
      <c r="CO15" s="648"/>
      <c r="CP15" s="97" t="s">
        <v>25</v>
      </c>
      <c r="CQ15" s="149">
        <v>2024.0219999999999</v>
      </c>
      <c r="CR15" s="149">
        <v>1895.904</v>
      </c>
      <c r="CS15" s="26"/>
      <c r="DJ15" s="648"/>
      <c r="DK15" s="150" t="s">
        <v>25</v>
      </c>
      <c r="DL15" s="157">
        <f t="shared" si="4"/>
        <v>0</v>
      </c>
      <c r="DM15" s="157">
        <f t="shared" si="5"/>
        <v>0.9824697931185381</v>
      </c>
      <c r="DN15" s="157">
        <f t="shared" si="6"/>
        <v>0</v>
      </c>
      <c r="DO15" s="157">
        <f t="shared" si="7"/>
        <v>1.0635207482999662E-2</v>
      </c>
      <c r="DP15" s="157">
        <f t="shared" si="8"/>
        <v>0</v>
      </c>
      <c r="DQ15" s="157">
        <f t="shared" si="9"/>
        <v>1.3893222543081222E-3</v>
      </c>
      <c r="DR15" s="157">
        <f t="shared" si="10"/>
        <v>0</v>
      </c>
      <c r="DS15" s="157">
        <f t="shared" si="11"/>
        <v>5.5056771441541977E-3</v>
      </c>
      <c r="DT15" s="181"/>
      <c r="DV15" s="633" t="s">
        <v>168</v>
      </c>
      <c r="DW15" s="40" t="s">
        <v>169</v>
      </c>
      <c r="DX15" s="40" t="s">
        <v>76</v>
      </c>
      <c r="DY15" s="48" t="s">
        <v>197</v>
      </c>
      <c r="DZ15" s="161">
        <f>BW23</f>
        <v>229892.018771184</v>
      </c>
      <c r="EA15" s="162">
        <f>DZ15/$BW$25</f>
        <v>0.14333560827474739</v>
      </c>
      <c r="EB15" s="55"/>
      <c r="EC15" s="46" t="s">
        <v>355</v>
      </c>
      <c r="ED15" s="358" t="s">
        <v>16</v>
      </c>
      <c r="EE15" s="358" t="s">
        <v>16</v>
      </c>
      <c r="EF15" s="26"/>
    </row>
    <row r="16" spans="1:139" ht="26.65" customHeight="1" x14ac:dyDescent="0.2">
      <c r="A16" s="633" t="s">
        <v>166</v>
      </c>
      <c r="B16" s="120" t="s">
        <v>89</v>
      </c>
      <c r="C16" s="137">
        <f t="shared" ref="C16:W16" si="24">C17</f>
        <v>0</v>
      </c>
      <c r="D16" s="137">
        <f t="shared" si="24"/>
        <v>183244.48968</v>
      </c>
      <c r="E16" s="137">
        <f t="shared" si="24"/>
        <v>0</v>
      </c>
      <c r="F16" s="137">
        <f t="shared" si="24"/>
        <v>0</v>
      </c>
      <c r="G16" s="137">
        <f t="shared" si="24"/>
        <v>0</v>
      </c>
      <c r="H16" s="137">
        <f t="shared" si="24"/>
        <v>0</v>
      </c>
      <c r="I16" s="137">
        <f t="shared" si="24"/>
        <v>0</v>
      </c>
      <c r="J16" s="137">
        <f t="shared" si="24"/>
        <v>32177.25</v>
      </c>
      <c r="K16" s="137">
        <f t="shared" si="24"/>
        <v>215421.73968</v>
      </c>
      <c r="L16" s="137">
        <f t="shared" si="24"/>
        <v>0</v>
      </c>
      <c r="M16" s="137">
        <f t="shared" si="24"/>
        <v>0</v>
      </c>
      <c r="N16" s="137">
        <f t="shared" si="24"/>
        <v>7549.2</v>
      </c>
      <c r="O16" s="137">
        <f t="shared" si="24"/>
        <v>0</v>
      </c>
      <c r="P16" s="137">
        <f t="shared" si="24"/>
        <v>7549.2</v>
      </c>
      <c r="Q16" s="137">
        <f t="shared" si="24"/>
        <v>222970.93968000001</v>
      </c>
      <c r="R16" s="137">
        <f t="shared" si="24"/>
        <v>284605</v>
      </c>
      <c r="S16" s="137">
        <f t="shared" si="24"/>
        <v>0</v>
      </c>
      <c r="T16" s="137">
        <f t="shared" si="24"/>
        <v>0</v>
      </c>
      <c r="U16" s="137">
        <f t="shared" si="24"/>
        <v>0</v>
      </c>
      <c r="V16" s="137">
        <f t="shared" si="24"/>
        <v>284605</v>
      </c>
      <c r="W16" s="137">
        <f t="shared" si="24"/>
        <v>507575.93968000001</v>
      </c>
      <c r="X16" s="57"/>
      <c r="Y16" s="636" t="s">
        <v>237</v>
      </c>
      <c r="Z16" s="636"/>
      <c r="AA16" s="551" t="s">
        <v>93</v>
      </c>
      <c r="AB16" s="551" t="s">
        <v>93</v>
      </c>
      <c r="AC16" s="551" t="s">
        <v>93</v>
      </c>
      <c r="AD16" s="552">
        <v>0</v>
      </c>
      <c r="AE16" s="549">
        <f>HLOOKUP(Y16,$C$3:$W$25,23,FALSE)/1000000</f>
        <v>0</v>
      </c>
      <c r="AF16" s="540"/>
      <c r="AG16" s="540"/>
      <c r="AH16" s="394"/>
      <c r="AJ16" s="633" t="s">
        <v>166</v>
      </c>
      <c r="AK16" s="120" t="s">
        <v>89</v>
      </c>
      <c r="AL16" s="138">
        <f t="shared" ref="AL16:AU16" si="25">AL17</f>
        <v>7549.2</v>
      </c>
      <c r="AM16" s="138">
        <f t="shared" si="25"/>
        <v>0</v>
      </c>
      <c r="AN16" s="138">
        <f t="shared" si="25"/>
        <v>0</v>
      </c>
      <c r="AO16" s="138">
        <f t="shared" si="25"/>
        <v>0</v>
      </c>
      <c r="AP16" s="138">
        <f t="shared" si="25"/>
        <v>0</v>
      </c>
      <c r="AQ16" s="138">
        <f t="shared" si="25"/>
        <v>0</v>
      </c>
      <c r="AR16" s="138">
        <f t="shared" si="25"/>
        <v>7549.2</v>
      </c>
      <c r="AS16" s="138">
        <f t="shared" si="25"/>
        <v>0</v>
      </c>
      <c r="AT16" s="138">
        <f t="shared" si="25"/>
        <v>0</v>
      </c>
      <c r="AU16" s="138">
        <f t="shared" si="25"/>
        <v>7549.2</v>
      </c>
      <c r="AV16" s="57"/>
      <c r="AW16" s="23"/>
      <c r="AX16" s="23"/>
      <c r="AY16" s="23"/>
      <c r="AZ16" s="23"/>
      <c r="BA16" s="23"/>
      <c r="BB16" s="23"/>
      <c r="BC16" s="23"/>
      <c r="BD16" s="525"/>
      <c r="BE16" s="525"/>
      <c r="BF16" s="16"/>
      <c r="BG16" s="633" t="s">
        <v>166</v>
      </c>
      <c r="BH16" s="92" t="s">
        <v>89</v>
      </c>
      <c r="BI16" s="138">
        <f t="shared" ref="BI16:BY16" si="26">BI17</f>
        <v>0</v>
      </c>
      <c r="BJ16" s="138">
        <f t="shared" si="26"/>
        <v>13580.3590768786</v>
      </c>
      <c r="BK16" s="138">
        <f t="shared" si="26"/>
        <v>0</v>
      </c>
      <c r="BL16" s="138">
        <f t="shared" si="26"/>
        <v>0</v>
      </c>
      <c r="BM16" s="138">
        <f t="shared" si="26"/>
        <v>0</v>
      </c>
      <c r="BN16" s="138">
        <f t="shared" si="26"/>
        <v>0</v>
      </c>
      <c r="BO16" s="138">
        <f t="shared" si="26"/>
        <v>0</v>
      </c>
      <c r="BP16" s="138">
        <f t="shared" si="26"/>
        <v>2248.8719603017498</v>
      </c>
      <c r="BQ16" s="138">
        <f t="shared" si="26"/>
        <v>0</v>
      </c>
      <c r="BR16" s="138">
        <f t="shared" si="26"/>
        <v>0</v>
      </c>
      <c r="BS16" s="138">
        <f t="shared" si="26"/>
        <v>0</v>
      </c>
      <c r="BT16" s="138">
        <f t="shared" si="26"/>
        <v>0</v>
      </c>
      <c r="BU16" s="138">
        <f t="shared" si="26"/>
        <v>0</v>
      </c>
      <c r="BV16" s="138">
        <f t="shared" si="26"/>
        <v>1.7500000000000002E-2</v>
      </c>
      <c r="BW16" s="138">
        <f t="shared" si="26"/>
        <v>15829.2485371804</v>
      </c>
      <c r="BX16" s="138">
        <f t="shared" si="26"/>
        <v>25440.524722222199</v>
      </c>
      <c r="BY16" s="138">
        <f t="shared" si="26"/>
        <v>25440.524722222199</v>
      </c>
      <c r="BZ16" s="138">
        <f t="shared" si="3"/>
        <v>41269.773259402602</v>
      </c>
      <c r="CA16" s="55"/>
      <c r="CB16" s="646" t="s">
        <v>166</v>
      </c>
      <c r="CC16" s="120" t="s">
        <v>89</v>
      </c>
      <c r="CD16" s="399">
        <f>BZ16/'2020 Normalizing Denominators'!E15</f>
        <v>191.06376508982686</v>
      </c>
      <c r="CE16" s="26"/>
      <c r="CG16" s="97" t="s">
        <v>267</v>
      </c>
      <c r="CH16" s="154">
        <v>0</v>
      </c>
      <c r="CI16" s="155">
        <v>0</v>
      </c>
      <c r="CJ16" s="155">
        <v>0</v>
      </c>
      <c r="CK16" s="155">
        <v>0</v>
      </c>
      <c r="CL16" s="156">
        <v>0</v>
      </c>
      <c r="CM16" s="156">
        <f t="shared" si="12"/>
        <v>0</v>
      </c>
      <c r="CN16" s="152"/>
      <c r="CO16" s="646" t="s">
        <v>166</v>
      </c>
      <c r="CP16" s="92" t="s">
        <v>89</v>
      </c>
      <c r="CQ16" s="138">
        <f>CQ17</f>
        <v>97.382999999999996</v>
      </c>
      <c r="CR16" s="138">
        <f>CR17</f>
        <v>0</v>
      </c>
      <c r="CS16" s="26"/>
      <c r="DJ16" s="633" t="s">
        <v>166</v>
      </c>
      <c r="DK16" s="103" t="s">
        <v>89</v>
      </c>
      <c r="DL16" s="145">
        <f t="shared" si="4"/>
        <v>0</v>
      </c>
      <c r="DM16" s="145">
        <f t="shared" si="5"/>
        <v>0.85063137059519633</v>
      </c>
      <c r="DN16" s="145">
        <f t="shared" si="6"/>
        <v>0</v>
      </c>
      <c r="DO16" s="145">
        <f t="shared" si="7"/>
        <v>0</v>
      </c>
      <c r="DP16" s="145">
        <f t="shared" si="8"/>
        <v>0</v>
      </c>
      <c r="DQ16" s="145">
        <f t="shared" si="9"/>
        <v>0</v>
      </c>
      <c r="DR16" s="145">
        <f t="shared" si="10"/>
        <v>0</v>
      </c>
      <c r="DS16" s="145">
        <f t="shared" si="11"/>
        <v>0.14936862940480364</v>
      </c>
      <c r="DT16" s="181"/>
      <c r="DV16" s="633"/>
      <c r="DW16" s="40" t="s">
        <v>14</v>
      </c>
      <c r="DX16" s="40" t="s">
        <v>76</v>
      </c>
      <c r="DY16" s="48" t="s">
        <v>197</v>
      </c>
      <c r="DZ16" s="161">
        <f>BW24</f>
        <v>179960.42476555001</v>
      </c>
      <c r="EA16" s="162">
        <f>DZ16/$BW$25</f>
        <v>0.11220370801487471</v>
      </c>
      <c r="EB16" s="55"/>
      <c r="EC16" s="46" t="s">
        <v>356</v>
      </c>
      <c r="ED16" s="358" t="s">
        <v>16</v>
      </c>
      <c r="EE16" s="358" t="s">
        <v>16</v>
      </c>
      <c r="EF16" s="26"/>
    </row>
    <row r="17" spans="1:136" ht="26.65" customHeight="1" x14ac:dyDescent="0.2">
      <c r="A17" s="633"/>
      <c r="B17" s="97" t="s">
        <v>11</v>
      </c>
      <c r="C17" s="147">
        <v>0</v>
      </c>
      <c r="D17" s="147">
        <v>183244.48968</v>
      </c>
      <c r="E17" s="147">
        <v>0</v>
      </c>
      <c r="F17" s="147">
        <v>0</v>
      </c>
      <c r="G17" s="147">
        <v>0</v>
      </c>
      <c r="H17" s="147">
        <v>0</v>
      </c>
      <c r="I17" s="147">
        <v>0</v>
      </c>
      <c r="J17" s="147">
        <v>32177.25</v>
      </c>
      <c r="K17" s="147">
        <v>215421.73968</v>
      </c>
      <c r="L17" s="147">
        <v>0</v>
      </c>
      <c r="M17" s="147">
        <v>0</v>
      </c>
      <c r="N17" s="147">
        <v>7549.2</v>
      </c>
      <c r="O17" s="147">
        <v>0</v>
      </c>
      <c r="P17" s="147">
        <v>7549.2</v>
      </c>
      <c r="Q17" s="147">
        <v>222970.93968000001</v>
      </c>
      <c r="R17" s="147">
        <v>284605</v>
      </c>
      <c r="S17" s="147">
        <v>0</v>
      </c>
      <c r="T17" s="147">
        <v>0</v>
      </c>
      <c r="U17" s="147">
        <v>0</v>
      </c>
      <c r="V17" s="147">
        <v>284605</v>
      </c>
      <c r="W17" s="147">
        <v>507575.93968000001</v>
      </c>
      <c r="X17" s="57"/>
      <c r="Y17" s="636" t="s">
        <v>238</v>
      </c>
      <c r="Z17" s="636"/>
      <c r="AA17" s="551" t="s">
        <v>93</v>
      </c>
      <c r="AB17" s="551" t="s">
        <v>93</v>
      </c>
      <c r="AC17" s="551" t="s">
        <v>93</v>
      </c>
      <c r="AD17" s="552">
        <v>0</v>
      </c>
      <c r="AE17" s="549">
        <f>HLOOKUP(Y17,$C$3:$W$25,23,FALSE)/1000000</f>
        <v>0</v>
      </c>
      <c r="AF17" s="540"/>
      <c r="AG17" s="540"/>
      <c r="AH17" s="394"/>
      <c r="AJ17" s="633"/>
      <c r="AK17" s="97" t="s">
        <v>11</v>
      </c>
      <c r="AL17" s="149">
        <v>7549.2</v>
      </c>
      <c r="AM17" s="149">
        <v>0</v>
      </c>
      <c r="AN17" s="149">
        <v>0</v>
      </c>
      <c r="AO17" s="149">
        <v>0</v>
      </c>
      <c r="AP17" s="149">
        <v>0</v>
      </c>
      <c r="AQ17" s="149">
        <v>0</v>
      </c>
      <c r="AR17" s="149">
        <v>7549.2</v>
      </c>
      <c r="AS17" s="149">
        <v>0</v>
      </c>
      <c r="AT17" s="149">
        <v>0</v>
      </c>
      <c r="AU17" s="149">
        <v>7549.2</v>
      </c>
      <c r="AV17" s="57"/>
      <c r="AW17" s="23"/>
      <c r="AX17" s="23"/>
      <c r="AY17" s="23"/>
      <c r="AZ17" s="23"/>
      <c r="BA17" s="23"/>
      <c r="BB17" s="23"/>
      <c r="BC17" s="23"/>
      <c r="BD17" s="525"/>
      <c r="BE17" s="525"/>
      <c r="BF17" s="16"/>
      <c r="BG17" s="633"/>
      <c r="BH17" s="97" t="s">
        <v>11</v>
      </c>
      <c r="BI17" s="149">
        <v>0</v>
      </c>
      <c r="BJ17" s="149">
        <v>13580.3590768786</v>
      </c>
      <c r="BK17" s="149">
        <v>0</v>
      </c>
      <c r="BL17" s="149">
        <v>0</v>
      </c>
      <c r="BM17" s="149">
        <v>0</v>
      </c>
      <c r="BN17" s="149">
        <v>0</v>
      </c>
      <c r="BO17" s="149">
        <v>0</v>
      </c>
      <c r="BP17" s="149">
        <v>2248.8719603017498</v>
      </c>
      <c r="BQ17" s="149">
        <v>0</v>
      </c>
      <c r="BR17" s="149">
        <v>0</v>
      </c>
      <c r="BS17" s="149">
        <v>0</v>
      </c>
      <c r="BT17" s="149">
        <v>0</v>
      </c>
      <c r="BU17" s="149">
        <v>0</v>
      </c>
      <c r="BV17" s="149">
        <v>1.7500000000000002E-2</v>
      </c>
      <c r="BW17" s="149">
        <v>15829.2485371804</v>
      </c>
      <c r="BX17" s="149">
        <v>25440.524722222199</v>
      </c>
      <c r="BY17" s="149">
        <v>25440.524722222199</v>
      </c>
      <c r="BZ17" s="149">
        <f t="shared" si="3"/>
        <v>41269.773259402602</v>
      </c>
      <c r="CA17" s="55"/>
      <c r="CB17" s="647"/>
      <c r="CC17" s="97" t="s">
        <v>11</v>
      </c>
      <c r="CD17" s="153">
        <f>BZ17/'2020 Normalizing Denominators'!E16</f>
        <v>191.06376508982686</v>
      </c>
      <c r="CE17" s="26"/>
      <c r="CG17" s="97" t="s">
        <v>357</v>
      </c>
      <c r="CH17" s="154">
        <v>0</v>
      </c>
      <c r="CI17" s="155">
        <v>166.12784500000001</v>
      </c>
      <c r="CJ17" s="155">
        <v>166.51477249999999</v>
      </c>
      <c r="CK17" s="155">
        <v>177.17</v>
      </c>
      <c r="CL17" s="159" t="s">
        <v>165</v>
      </c>
      <c r="CM17" s="156">
        <f t="shared" si="12"/>
        <v>1.5882406355999999E-4</v>
      </c>
      <c r="CN17" s="152"/>
      <c r="CO17" s="647"/>
      <c r="CP17" s="97" t="s">
        <v>11</v>
      </c>
      <c r="CQ17" s="149">
        <v>97.382999999999996</v>
      </c>
      <c r="CR17" s="149">
        <v>0</v>
      </c>
      <c r="CS17" s="26"/>
      <c r="DJ17" s="633"/>
      <c r="DK17" s="150" t="s">
        <v>11</v>
      </c>
      <c r="DL17" s="157">
        <f t="shared" si="4"/>
        <v>0</v>
      </c>
      <c r="DM17" s="157">
        <f t="shared" si="5"/>
        <v>0.85063137059519633</v>
      </c>
      <c r="DN17" s="157">
        <f t="shared" si="6"/>
        <v>0</v>
      </c>
      <c r="DO17" s="157">
        <f t="shared" si="7"/>
        <v>0</v>
      </c>
      <c r="DP17" s="157">
        <f t="shared" si="8"/>
        <v>0</v>
      </c>
      <c r="DQ17" s="157">
        <f t="shared" si="9"/>
        <v>0</v>
      </c>
      <c r="DR17" s="157">
        <f t="shared" si="10"/>
        <v>0</v>
      </c>
      <c r="DS17" s="157">
        <f t="shared" si="11"/>
        <v>0.14936862940480364</v>
      </c>
      <c r="DT17" s="181"/>
      <c r="DV17" s="54" t="s">
        <v>170</v>
      </c>
      <c r="DW17" s="120" t="s">
        <v>358</v>
      </c>
      <c r="DX17" s="186"/>
      <c r="DY17" s="504">
        <v>6</v>
      </c>
      <c r="DZ17" s="166">
        <f>SUM(DZ5:DZ16)</f>
        <v>854552.78715692507</v>
      </c>
      <c r="EA17" s="167">
        <f>SUM(EA5:EA16)</f>
        <v>0.53280598519574152</v>
      </c>
      <c r="EB17" s="55"/>
      <c r="EC17" s="46" t="s">
        <v>359</v>
      </c>
      <c r="ED17" s="358" t="s">
        <v>16</v>
      </c>
      <c r="EE17" s="358" t="s">
        <v>16</v>
      </c>
      <c r="EF17" s="26"/>
    </row>
    <row r="18" spans="1:136" ht="26.65" customHeight="1" x14ac:dyDescent="0.2">
      <c r="A18" s="633"/>
      <c r="B18" s="120" t="s">
        <v>94</v>
      </c>
      <c r="C18" s="137">
        <f t="shared" ref="C18:W18" si="27">C19</f>
        <v>0</v>
      </c>
      <c r="D18" s="137">
        <f t="shared" si="27"/>
        <v>1808368.7496</v>
      </c>
      <c r="E18" s="137">
        <f t="shared" si="27"/>
        <v>0</v>
      </c>
      <c r="F18" s="137">
        <f t="shared" si="27"/>
        <v>2084.1550000000002</v>
      </c>
      <c r="G18" s="137">
        <f t="shared" si="27"/>
        <v>0</v>
      </c>
      <c r="H18" s="137">
        <f t="shared" si="27"/>
        <v>9.4710086855999993</v>
      </c>
      <c r="I18" s="137">
        <f t="shared" si="27"/>
        <v>1785461.69556409</v>
      </c>
      <c r="J18" s="137">
        <f t="shared" si="27"/>
        <v>0</v>
      </c>
      <c r="K18" s="137">
        <f t="shared" si="27"/>
        <v>3595924.0711727701</v>
      </c>
      <c r="L18" s="137">
        <f t="shared" si="27"/>
        <v>0</v>
      </c>
      <c r="M18" s="137">
        <f t="shared" si="27"/>
        <v>0</v>
      </c>
      <c r="N18" s="137">
        <f t="shared" si="27"/>
        <v>0</v>
      </c>
      <c r="O18" s="137">
        <f t="shared" si="27"/>
        <v>0</v>
      </c>
      <c r="P18" s="137">
        <f t="shared" si="27"/>
        <v>0</v>
      </c>
      <c r="Q18" s="137">
        <f t="shared" si="27"/>
        <v>3595924.0711727701</v>
      </c>
      <c r="R18" s="137">
        <f t="shared" si="27"/>
        <v>0</v>
      </c>
      <c r="S18" s="137">
        <f t="shared" si="27"/>
        <v>0</v>
      </c>
      <c r="T18" s="137">
        <f t="shared" si="27"/>
        <v>0</v>
      </c>
      <c r="U18" s="137">
        <f t="shared" si="27"/>
        <v>0</v>
      </c>
      <c r="V18" s="137">
        <f t="shared" si="27"/>
        <v>0</v>
      </c>
      <c r="W18" s="137">
        <f t="shared" si="27"/>
        <v>3595924.0711727701</v>
      </c>
      <c r="X18" s="57"/>
      <c r="Y18" s="636" t="s">
        <v>239</v>
      </c>
      <c r="Z18" s="636"/>
      <c r="AA18" s="551" t="s">
        <v>93</v>
      </c>
      <c r="AB18" s="551" t="s">
        <v>93</v>
      </c>
      <c r="AC18" s="551" t="s">
        <v>93</v>
      </c>
      <c r="AD18" s="552">
        <v>0</v>
      </c>
      <c r="AE18" s="549">
        <f>HLOOKUP(Y18,$C$3:$W$25,23,FALSE)/1000000</f>
        <v>9.2246342399999997E-3</v>
      </c>
      <c r="AF18" s="540"/>
      <c r="AG18" s="540"/>
      <c r="AH18" s="394"/>
      <c r="AJ18" s="633"/>
      <c r="AK18" s="120" t="s">
        <v>94</v>
      </c>
      <c r="AL18" s="138">
        <f t="shared" ref="AL18:AU18" si="28">AL19</f>
        <v>1809307.87756009</v>
      </c>
      <c r="AM18" s="138">
        <f t="shared" si="28"/>
        <v>23846.181995999999</v>
      </c>
      <c r="AN18" s="138">
        <f t="shared" si="28"/>
        <v>1785461.69556409</v>
      </c>
      <c r="AO18" s="138">
        <f t="shared" si="28"/>
        <v>0</v>
      </c>
      <c r="AP18" s="138">
        <f t="shared" si="28"/>
        <v>0</v>
      </c>
      <c r="AQ18" s="138">
        <f t="shared" si="28"/>
        <v>0</v>
      </c>
      <c r="AR18" s="138">
        <f t="shared" si="28"/>
        <v>0</v>
      </c>
      <c r="AS18" s="138">
        <f t="shared" si="28"/>
        <v>0</v>
      </c>
      <c r="AT18" s="138">
        <f t="shared" si="28"/>
        <v>0</v>
      </c>
      <c r="AU18" s="138">
        <f t="shared" si="28"/>
        <v>1809307.87756009</v>
      </c>
      <c r="AV18" s="57"/>
      <c r="AW18" s="23"/>
      <c r="AX18" s="23"/>
      <c r="AY18" s="23"/>
      <c r="AZ18" s="23"/>
      <c r="BA18" s="23"/>
      <c r="BB18" s="23"/>
      <c r="BC18" s="23"/>
      <c r="BD18" s="525"/>
      <c r="BE18" s="525"/>
      <c r="BF18" s="16"/>
      <c r="BG18" s="633"/>
      <c r="BH18" s="92" t="s">
        <v>94</v>
      </c>
      <c r="BI18" s="138">
        <f t="shared" ref="BI18:BY18" si="29">BI19</f>
        <v>0</v>
      </c>
      <c r="BJ18" s="138">
        <f t="shared" si="29"/>
        <v>134019.29305410601</v>
      </c>
      <c r="BK18" s="138">
        <f t="shared" si="29"/>
        <v>0</v>
      </c>
      <c r="BL18" s="138">
        <f t="shared" si="29"/>
        <v>144.45403354300001</v>
      </c>
      <c r="BM18" s="138">
        <f t="shared" si="29"/>
        <v>0</v>
      </c>
      <c r="BN18" s="138">
        <f t="shared" si="29"/>
        <v>0.59766895020565602</v>
      </c>
      <c r="BO18" s="138">
        <f t="shared" si="29"/>
        <v>138213.661130633</v>
      </c>
      <c r="BP18" s="138">
        <f t="shared" si="29"/>
        <v>0</v>
      </c>
      <c r="BQ18" s="138">
        <f t="shared" si="29"/>
        <v>0</v>
      </c>
      <c r="BR18" s="138">
        <f t="shared" si="29"/>
        <v>0</v>
      </c>
      <c r="BS18" s="138">
        <f t="shared" si="29"/>
        <v>0</v>
      </c>
      <c r="BT18" s="138">
        <f t="shared" si="29"/>
        <v>0</v>
      </c>
      <c r="BU18" s="138">
        <f t="shared" si="29"/>
        <v>0</v>
      </c>
      <c r="BV18" s="138">
        <f t="shared" si="29"/>
        <v>0</v>
      </c>
      <c r="BW18" s="138">
        <f t="shared" si="29"/>
        <v>272378.00588723202</v>
      </c>
      <c r="BX18" s="138">
        <f t="shared" si="29"/>
        <v>0</v>
      </c>
      <c r="BY18" s="138">
        <f t="shared" si="29"/>
        <v>0</v>
      </c>
      <c r="BZ18" s="138">
        <f t="shared" si="3"/>
        <v>272378.00588723202</v>
      </c>
      <c r="CA18" s="55"/>
      <c r="CB18" s="647"/>
      <c r="CC18" s="120" t="s">
        <v>94</v>
      </c>
      <c r="CD18" s="399">
        <f>BZ18/'2020 Normalizing Denominators'!E17</f>
        <v>590.84166136059002</v>
      </c>
      <c r="CE18" s="26"/>
      <c r="CG18" s="97" t="s">
        <v>269</v>
      </c>
      <c r="CH18" s="154">
        <v>2000</v>
      </c>
      <c r="CI18" s="155">
        <v>1635.1000000000299</v>
      </c>
      <c r="CJ18" s="155">
        <v>544.59999999991896</v>
      </c>
      <c r="CK18" s="155">
        <v>55.299999999930201</v>
      </c>
      <c r="CL18" s="156">
        <v>0</v>
      </c>
      <c r="CM18" s="156">
        <f t="shared" si="12"/>
        <v>0</v>
      </c>
      <c r="CN18" s="152"/>
      <c r="CO18" s="647"/>
      <c r="CP18" s="92" t="s">
        <v>94</v>
      </c>
      <c r="CQ18" s="138">
        <f>CQ19</f>
        <v>43.264093842969999</v>
      </c>
      <c r="CR18" s="138">
        <f>CR19</f>
        <v>85.190399999999997</v>
      </c>
      <c r="CS18" s="26"/>
      <c r="DJ18" s="633"/>
      <c r="DK18" s="103" t="s">
        <v>94</v>
      </c>
      <c r="DL18" s="145">
        <f t="shared" si="4"/>
        <v>0</v>
      </c>
      <c r="DM18" s="145">
        <f t="shared" si="5"/>
        <v>0.50289403052112303</v>
      </c>
      <c r="DN18" s="145">
        <f t="shared" si="6"/>
        <v>0</v>
      </c>
      <c r="DO18" s="145">
        <f t="shared" si="7"/>
        <v>5.7958815557534191E-4</v>
      </c>
      <c r="DP18" s="145">
        <f t="shared" si="8"/>
        <v>0</v>
      </c>
      <c r="DQ18" s="145">
        <f t="shared" si="9"/>
        <v>2.6338177609270646E-6</v>
      </c>
      <c r="DR18" s="145">
        <f t="shared" si="10"/>
        <v>0.49652374750554223</v>
      </c>
      <c r="DS18" s="145">
        <f t="shared" si="11"/>
        <v>0</v>
      </c>
      <c r="DT18" s="181"/>
      <c r="DV18" s="566" t="s">
        <v>360</v>
      </c>
      <c r="DW18" s="566"/>
      <c r="DX18" s="566"/>
      <c r="DY18" s="566"/>
      <c r="DZ18" s="566"/>
      <c r="EA18" s="566"/>
      <c r="EC18" s="46" t="s">
        <v>361</v>
      </c>
      <c r="ED18" s="358" t="s">
        <v>16</v>
      </c>
      <c r="EE18" s="358" t="s">
        <v>16</v>
      </c>
      <c r="EF18" s="26"/>
    </row>
    <row r="19" spans="1:136" ht="26.65" customHeight="1" x14ac:dyDescent="0.2">
      <c r="A19" s="633"/>
      <c r="B19" s="97" t="s">
        <v>167</v>
      </c>
      <c r="C19" s="147">
        <v>0</v>
      </c>
      <c r="D19" s="147">
        <v>1808368.7496</v>
      </c>
      <c r="E19" s="147">
        <v>0</v>
      </c>
      <c r="F19" s="147">
        <v>2084.1550000000002</v>
      </c>
      <c r="G19" s="147">
        <v>0</v>
      </c>
      <c r="H19" s="147">
        <v>9.4710086855999993</v>
      </c>
      <c r="I19" s="147">
        <v>1785461.69556409</v>
      </c>
      <c r="J19" s="147">
        <v>0</v>
      </c>
      <c r="K19" s="147">
        <v>3595924.0711727701</v>
      </c>
      <c r="L19" s="147">
        <v>0</v>
      </c>
      <c r="M19" s="147">
        <v>0</v>
      </c>
      <c r="N19" s="147">
        <v>0</v>
      </c>
      <c r="O19" s="147">
        <v>0</v>
      </c>
      <c r="P19" s="147">
        <v>0</v>
      </c>
      <c r="Q19" s="147">
        <v>3595924.0711727701</v>
      </c>
      <c r="R19" s="147">
        <v>0</v>
      </c>
      <c r="S19" s="147">
        <v>0</v>
      </c>
      <c r="T19" s="147">
        <v>0</v>
      </c>
      <c r="U19" s="147">
        <v>0</v>
      </c>
      <c r="V19" s="147">
        <v>0</v>
      </c>
      <c r="W19" s="147">
        <v>3595924.0711727701</v>
      </c>
      <c r="X19" s="57"/>
      <c r="Y19" s="636" t="s">
        <v>362</v>
      </c>
      <c r="Z19" s="636"/>
      <c r="AA19" s="551" t="s">
        <v>93</v>
      </c>
      <c r="AB19" s="551" t="s">
        <v>93</v>
      </c>
      <c r="AC19" s="551" t="s">
        <v>93</v>
      </c>
      <c r="AD19" s="552">
        <v>0.14000000000000001</v>
      </c>
      <c r="AE19" s="549">
        <f>HLOOKUP(Y19,$C$3:$W$25,23,FALSE)/1000000</f>
        <v>0.124368400152151</v>
      </c>
      <c r="AF19" s="540"/>
      <c r="AG19" s="540"/>
      <c r="AH19" s="394"/>
      <c r="AJ19" s="633"/>
      <c r="AK19" s="97" t="s">
        <v>167</v>
      </c>
      <c r="AL19" s="149">
        <v>1809307.87756009</v>
      </c>
      <c r="AM19" s="149">
        <v>23846.181995999999</v>
      </c>
      <c r="AN19" s="149">
        <v>1785461.69556409</v>
      </c>
      <c r="AO19" s="149">
        <v>0</v>
      </c>
      <c r="AP19" s="149">
        <v>0</v>
      </c>
      <c r="AQ19" s="149">
        <v>0</v>
      </c>
      <c r="AR19" s="149">
        <v>0</v>
      </c>
      <c r="AS19" s="149">
        <v>0</v>
      </c>
      <c r="AT19" s="149">
        <v>0</v>
      </c>
      <c r="AU19" s="149">
        <v>1809307.87756009</v>
      </c>
      <c r="AV19" s="57"/>
      <c r="AW19" s="23"/>
      <c r="AX19" s="23"/>
      <c r="AY19" s="23"/>
      <c r="AZ19" s="23"/>
      <c r="BA19" s="23"/>
      <c r="BB19" s="23"/>
      <c r="BC19" s="23"/>
      <c r="BD19" s="525"/>
      <c r="BE19" s="525"/>
      <c r="BF19" s="16"/>
      <c r="BG19" s="633"/>
      <c r="BH19" s="97" t="s">
        <v>167</v>
      </c>
      <c r="BI19" s="149">
        <v>0</v>
      </c>
      <c r="BJ19" s="149">
        <v>134019.29305410601</v>
      </c>
      <c r="BK19" s="149">
        <v>0</v>
      </c>
      <c r="BL19" s="149">
        <v>144.45403354300001</v>
      </c>
      <c r="BM19" s="149">
        <v>0</v>
      </c>
      <c r="BN19" s="149">
        <v>0.59766895020565602</v>
      </c>
      <c r="BO19" s="149">
        <v>138213.661130633</v>
      </c>
      <c r="BP19" s="149">
        <v>0</v>
      </c>
      <c r="BQ19" s="149">
        <v>0</v>
      </c>
      <c r="BR19" s="149">
        <v>0</v>
      </c>
      <c r="BS19" s="149">
        <v>0</v>
      </c>
      <c r="BT19" s="149">
        <v>0</v>
      </c>
      <c r="BU19" s="149">
        <v>0</v>
      </c>
      <c r="BV19" s="149">
        <v>0</v>
      </c>
      <c r="BW19" s="149">
        <v>272378.00588723202</v>
      </c>
      <c r="BX19" s="149">
        <v>0</v>
      </c>
      <c r="BY19" s="149">
        <v>0</v>
      </c>
      <c r="BZ19" s="149">
        <f t="shared" si="3"/>
        <v>272378.00588723202</v>
      </c>
      <c r="CA19" s="55"/>
      <c r="CB19" s="647"/>
      <c r="CC19" s="97" t="s">
        <v>167</v>
      </c>
      <c r="CD19" s="153">
        <f>BZ19/'2020 Normalizing Denominators'!E18</f>
        <v>590.84166136059002</v>
      </c>
      <c r="CE19" s="26"/>
      <c r="CF19" s="85"/>
      <c r="CG19" s="168" t="s">
        <v>363</v>
      </c>
      <c r="CH19" s="169">
        <v>0</v>
      </c>
      <c r="CI19" s="155">
        <v>0</v>
      </c>
      <c r="CJ19" s="155">
        <v>0</v>
      </c>
      <c r="CK19" s="155">
        <v>0</v>
      </c>
      <c r="CL19" s="156">
        <v>0</v>
      </c>
      <c r="CM19" s="156">
        <f t="shared" si="12"/>
        <v>2.2651074999999999E-5</v>
      </c>
      <c r="CN19" s="152"/>
      <c r="CO19" s="647"/>
      <c r="CP19" s="97" t="s">
        <v>167</v>
      </c>
      <c r="CQ19" s="149">
        <v>43.264093842969999</v>
      </c>
      <c r="CR19" s="149">
        <v>85.190399999999997</v>
      </c>
      <c r="CS19" s="26"/>
      <c r="DJ19" s="633"/>
      <c r="DK19" s="150" t="s">
        <v>167</v>
      </c>
      <c r="DL19" s="157">
        <f t="shared" si="4"/>
        <v>0</v>
      </c>
      <c r="DM19" s="157">
        <f t="shared" si="5"/>
        <v>0.50289403052112303</v>
      </c>
      <c r="DN19" s="157">
        <f t="shared" si="6"/>
        <v>0</v>
      </c>
      <c r="DO19" s="157">
        <f t="shared" si="7"/>
        <v>5.7958815557534191E-4</v>
      </c>
      <c r="DP19" s="157">
        <f t="shared" si="8"/>
        <v>0</v>
      </c>
      <c r="DQ19" s="157">
        <f t="shared" si="9"/>
        <v>2.6338177609270646E-6</v>
      </c>
      <c r="DR19" s="157">
        <f t="shared" si="10"/>
        <v>0.49652374750554223</v>
      </c>
      <c r="DS19" s="157">
        <f t="shared" si="11"/>
        <v>0</v>
      </c>
      <c r="DT19" s="181"/>
      <c r="DV19" s="573"/>
      <c r="DW19" s="573"/>
      <c r="DX19" s="573"/>
      <c r="DY19" s="573"/>
      <c r="DZ19" s="573"/>
      <c r="EA19" s="573"/>
      <c r="EC19" s="46" t="s">
        <v>364</v>
      </c>
      <c r="ED19" s="500">
        <v>2351730</v>
      </c>
      <c r="EE19" s="500">
        <v>2157558.2563535399</v>
      </c>
      <c r="EF19" s="26"/>
    </row>
    <row r="20" spans="1:136" ht="26.65" customHeight="1" x14ac:dyDescent="0.25">
      <c r="A20" s="633"/>
      <c r="B20" s="120" t="s">
        <v>97</v>
      </c>
      <c r="C20" s="137">
        <f t="shared" ref="C20:W20" si="30">C21</f>
        <v>0</v>
      </c>
      <c r="D20" s="137">
        <f t="shared" si="30"/>
        <v>1762832.42839514</v>
      </c>
      <c r="E20" s="137">
        <f t="shared" si="30"/>
        <v>0</v>
      </c>
      <c r="F20" s="137">
        <f t="shared" si="30"/>
        <v>1005.06571809276</v>
      </c>
      <c r="G20" s="137">
        <f t="shared" si="30"/>
        <v>0</v>
      </c>
      <c r="H20" s="137">
        <f t="shared" si="30"/>
        <v>0</v>
      </c>
      <c r="I20" s="137">
        <f t="shared" si="30"/>
        <v>85748.870642701499</v>
      </c>
      <c r="J20" s="137">
        <f t="shared" si="30"/>
        <v>0</v>
      </c>
      <c r="K20" s="137">
        <f t="shared" si="30"/>
        <v>1849586.3647559299</v>
      </c>
      <c r="L20" s="137">
        <f t="shared" si="30"/>
        <v>0</v>
      </c>
      <c r="M20" s="137">
        <f t="shared" si="30"/>
        <v>0</v>
      </c>
      <c r="N20" s="137">
        <f t="shared" si="30"/>
        <v>0</v>
      </c>
      <c r="O20" s="137">
        <f t="shared" si="30"/>
        <v>91555.764395923907</v>
      </c>
      <c r="P20" s="137">
        <f t="shared" si="30"/>
        <v>91555.764395923907</v>
      </c>
      <c r="Q20" s="137">
        <f t="shared" si="30"/>
        <v>1941142.12915185</v>
      </c>
      <c r="R20" s="137">
        <f t="shared" si="30"/>
        <v>1454589.4931999999</v>
      </c>
      <c r="S20" s="137">
        <f t="shared" si="30"/>
        <v>0</v>
      </c>
      <c r="T20" s="137">
        <f t="shared" si="30"/>
        <v>0</v>
      </c>
      <c r="U20" s="137">
        <f t="shared" si="30"/>
        <v>0</v>
      </c>
      <c r="V20" s="137">
        <f t="shared" si="30"/>
        <v>1454589.4931999999</v>
      </c>
      <c r="W20" s="137">
        <f t="shared" si="30"/>
        <v>3395731.6223518499</v>
      </c>
      <c r="X20" s="57"/>
      <c r="Y20" s="641" t="s">
        <v>365</v>
      </c>
      <c r="Z20" s="641"/>
      <c r="AA20" s="553">
        <v>0.17</v>
      </c>
      <c r="AB20" s="553">
        <v>0.14000000000000001</v>
      </c>
      <c r="AC20" s="553">
        <v>0.14000000000000001</v>
      </c>
      <c r="AD20" s="553">
        <v>0.14000000000000001</v>
      </c>
      <c r="AE20" s="553">
        <f>SUM(AE16:AE19)</f>
        <v>0.13359303439215101</v>
      </c>
      <c r="AF20" s="541"/>
      <c r="AG20" s="541"/>
      <c r="AH20" s="394"/>
      <c r="AJ20" s="633"/>
      <c r="AK20" s="120" t="s">
        <v>97</v>
      </c>
      <c r="AL20" s="138">
        <f t="shared" ref="AL20:AU20" si="31">AL21</f>
        <v>609.85030207592001</v>
      </c>
      <c r="AM20" s="138">
        <f t="shared" si="31"/>
        <v>579.71087776145805</v>
      </c>
      <c r="AN20" s="138">
        <f t="shared" si="31"/>
        <v>0</v>
      </c>
      <c r="AO20" s="138">
        <f t="shared" si="31"/>
        <v>0</v>
      </c>
      <c r="AP20" s="138">
        <f t="shared" si="31"/>
        <v>0</v>
      </c>
      <c r="AQ20" s="138">
        <f t="shared" si="31"/>
        <v>0</v>
      </c>
      <c r="AR20" s="138">
        <f t="shared" si="31"/>
        <v>0</v>
      </c>
      <c r="AS20" s="138">
        <f t="shared" si="31"/>
        <v>30.139424314461799</v>
      </c>
      <c r="AT20" s="138">
        <f t="shared" si="31"/>
        <v>0</v>
      </c>
      <c r="AU20" s="138">
        <f t="shared" si="31"/>
        <v>609.85030207592001</v>
      </c>
      <c r="AV20" s="57"/>
      <c r="AW20" s="23"/>
      <c r="AX20" s="23"/>
      <c r="AY20" s="23"/>
      <c r="AZ20" s="23"/>
      <c r="BA20" s="23"/>
      <c r="BB20" s="23"/>
      <c r="BC20" s="23"/>
      <c r="BD20" s="525"/>
      <c r="BE20" s="525"/>
      <c r="BF20" s="16"/>
      <c r="BG20" s="633"/>
      <c r="BH20" s="92" t="s">
        <v>97</v>
      </c>
      <c r="BI20" s="138">
        <f t="shared" ref="BI20:BY20" si="32">BI21</f>
        <v>0</v>
      </c>
      <c r="BJ20" s="138">
        <f t="shared" si="32"/>
        <v>130644.568967821</v>
      </c>
      <c r="BK20" s="138">
        <f t="shared" si="32"/>
        <v>0</v>
      </c>
      <c r="BL20" s="138">
        <f t="shared" si="32"/>
        <v>69.661707960439898</v>
      </c>
      <c r="BM20" s="138">
        <f t="shared" si="32"/>
        <v>0</v>
      </c>
      <c r="BN20" s="138">
        <f t="shared" si="32"/>
        <v>0</v>
      </c>
      <c r="BO20" s="138">
        <f t="shared" si="32"/>
        <v>6637.8715257739004</v>
      </c>
      <c r="BP20" s="138">
        <f t="shared" si="32"/>
        <v>0</v>
      </c>
      <c r="BQ20" s="138">
        <f t="shared" si="32"/>
        <v>6483.1186103340096</v>
      </c>
      <c r="BR20" s="138">
        <f t="shared" si="32"/>
        <v>12644.078215817301</v>
      </c>
      <c r="BS20" s="138">
        <f t="shared" si="32"/>
        <v>0</v>
      </c>
      <c r="BT20" s="138">
        <f t="shared" si="32"/>
        <v>0</v>
      </c>
      <c r="BU20" s="138">
        <f t="shared" si="32"/>
        <v>0</v>
      </c>
      <c r="BV20" s="138">
        <f t="shared" si="32"/>
        <v>0</v>
      </c>
      <c r="BW20" s="138">
        <f t="shared" si="32"/>
        <v>156479.299027706</v>
      </c>
      <c r="BX20" s="138">
        <f t="shared" si="32"/>
        <v>80648.906345199997</v>
      </c>
      <c r="BY20" s="138">
        <f t="shared" si="32"/>
        <v>80648.906345199997</v>
      </c>
      <c r="BZ20" s="138">
        <f t="shared" si="3"/>
        <v>237128.205372906</v>
      </c>
      <c r="CA20" s="55"/>
      <c r="CB20" s="647"/>
      <c r="CC20" s="120" t="s">
        <v>97</v>
      </c>
      <c r="CD20" s="399">
        <f>BZ20/'2020 Normalizing Denominators'!E19</f>
        <v>697.43589815560586</v>
      </c>
      <c r="CE20" s="26"/>
      <c r="CG20" s="170" t="s">
        <v>271</v>
      </c>
      <c r="CH20" s="171">
        <v>1800000</v>
      </c>
      <c r="CI20" s="172">
        <v>1451204.89692126</v>
      </c>
      <c r="CJ20" s="172">
        <v>1662996.9551037799</v>
      </c>
      <c r="CK20" s="173">
        <v>1756947.58605949</v>
      </c>
      <c r="CL20" s="173">
        <v>1591159.8005013601</v>
      </c>
      <c r="CM20" s="173">
        <v>1603872.34922479</v>
      </c>
      <c r="CN20" s="152"/>
      <c r="CO20" s="647"/>
      <c r="CP20" s="92" t="s">
        <v>97</v>
      </c>
      <c r="CQ20" s="138">
        <f>CQ21</f>
        <v>758.47199999999998</v>
      </c>
      <c r="CR20" s="138">
        <f>CR21</f>
        <v>0</v>
      </c>
      <c r="CS20" s="68"/>
      <c r="CT20" s="7"/>
      <c r="DJ20" s="633"/>
      <c r="DK20" s="103" t="s">
        <v>97</v>
      </c>
      <c r="DL20" s="145">
        <f t="shared" si="4"/>
        <v>0</v>
      </c>
      <c r="DM20" s="145">
        <f t="shared" si="5"/>
        <v>0.9530954931254384</v>
      </c>
      <c r="DN20" s="145">
        <f t="shared" si="6"/>
        <v>0</v>
      </c>
      <c r="DO20" s="145">
        <f t="shared" si="7"/>
        <v>5.4340026356400383E-4</v>
      </c>
      <c r="DP20" s="145">
        <f t="shared" si="8"/>
        <v>0</v>
      </c>
      <c r="DQ20" s="145">
        <f t="shared" si="9"/>
        <v>0</v>
      </c>
      <c r="DR20" s="145">
        <f t="shared" si="10"/>
        <v>4.6361106610999944E-2</v>
      </c>
      <c r="DS20" s="145">
        <f t="shared" si="11"/>
        <v>0</v>
      </c>
      <c r="DT20" s="181"/>
      <c r="DV20" s="573"/>
      <c r="DW20" s="573"/>
      <c r="DX20" s="573"/>
      <c r="DY20" s="573"/>
      <c r="DZ20" s="573"/>
      <c r="EA20" s="573"/>
      <c r="EC20" s="174" t="s">
        <v>366</v>
      </c>
      <c r="ED20" s="502">
        <f>SUM(ED5:ED19)</f>
        <v>4640490.9282859657</v>
      </c>
      <c r="EE20" s="502">
        <f>SUM(EE5:EE19)</f>
        <v>5097647.6373211052</v>
      </c>
      <c r="EF20" s="26"/>
    </row>
    <row r="21" spans="1:136" ht="26.65" customHeight="1" x14ac:dyDescent="0.2">
      <c r="A21" s="633"/>
      <c r="B21" s="97" t="s">
        <v>20</v>
      </c>
      <c r="C21" s="147">
        <v>0</v>
      </c>
      <c r="D21" s="147">
        <v>1762832.42839514</v>
      </c>
      <c r="E21" s="147">
        <v>0</v>
      </c>
      <c r="F21" s="147">
        <v>1005.06571809276</v>
      </c>
      <c r="G21" s="147">
        <v>0</v>
      </c>
      <c r="H21" s="147">
        <v>0</v>
      </c>
      <c r="I21" s="147">
        <v>85748.870642701499</v>
      </c>
      <c r="J21" s="147">
        <v>0</v>
      </c>
      <c r="K21" s="147">
        <v>1849586.3647559299</v>
      </c>
      <c r="L21" s="147">
        <v>0</v>
      </c>
      <c r="M21" s="147">
        <v>0</v>
      </c>
      <c r="N21" s="147">
        <v>0</v>
      </c>
      <c r="O21" s="147">
        <v>91555.764395923907</v>
      </c>
      <c r="P21" s="147">
        <v>91555.764395923907</v>
      </c>
      <c r="Q21" s="147">
        <v>1941142.12915185</v>
      </c>
      <c r="R21" s="147">
        <v>1454589.4931999999</v>
      </c>
      <c r="S21" s="147">
        <v>0</v>
      </c>
      <c r="T21" s="147">
        <v>0</v>
      </c>
      <c r="U21" s="147">
        <v>0</v>
      </c>
      <c r="V21" s="147">
        <v>1454589.4931999999</v>
      </c>
      <c r="W21" s="147">
        <v>3395731.6223518499</v>
      </c>
      <c r="X21" s="57"/>
      <c r="Y21" s="638" t="s">
        <v>241</v>
      </c>
      <c r="Z21" s="638"/>
      <c r="AA21" s="550">
        <v>20.381645408000001</v>
      </c>
      <c r="AB21" s="550">
        <v>23.398235329999999</v>
      </c>
      <c r="AC21" s="550">
        <v>24.696335688000001</v>
      </c>
      <c r="AD21" s="550">
        <v>23.95</v>
      </c>
      <c r="AE21" s="550">
        <f>HLOOKUP(Y21,$C$3:$W$25,23,FALSE)/1000000</f>
        <v>22.58838298108887</v>
      </c>
      <c r="AF21" s="541"/>
      <c r="AG21" s="541"/>
      <c r="AH21" s="394"/>
      <c r="AJ21" s="633"/>
      <c r="AK21" s="97" t="s">
        <v>20</v>
      </c>
      <c r="AL21" s="149">
        <v>609.85030207592001</v>
      </c>
      <c r="AM21" s="149">
        <v>579.71087776145805</v>
      </c>
      <c r="AN21" s="149">
        <v>0</v>
      </c>
      <c r="AO21" s="149">
        <v>0</v>
      </c>
      <c r="AP21" s="149">
        <v>0</v>
      </c>
      <c r="AQ21" s="149">
        <v>0</v>
      </c>
      <c r="AR21" s="149">
        <v>0</v>
      </c>
      <c r="AS21" s="149">
        <v>30.139424314461799</v>
      </c>
      <c r="AT21" s="149">
        <v>0</v>
      </c>
      <c r="AU21" s="149">
        <v>609.85030207592001</v>
      </c>
      <c r="AV21" s="57"/>
      <c r="AW21" s="23"/>
      <c r="AX21" s="23"/>
      <c r="AY21" s="23"/>
      <c r="AZ21" s="23"/>
      <c r="BA21" s="23"/>
      <c r="BB21" s="23"/>
      <c r="BC21" s="23"/>
      <c r="BD21" s="525"/>
      <c r="BE21" s="525"/>
      <c r="BF21" s="16"/>
      <c r="BG21" s="633"/>
      <c r="BH21" s="97" t="s">
        <v>20</v>
      </c>
      <c r="BI21" s="149">
        <v>0</v>
      </c>
      <c r="BJ21" s="149">
        <v>130644.568967821</v>
      </c>
      <c r="BK21" s="149">
        <v>0</v>
      </c>
      <c r="BL21" s="149">
        <v>69.661707960439898</v>
      </c>
      <c r="BM21" s="149">
        <v>0</v>
      </c>
      <c r="BN21" s="149">
        <v>0</v>
      </c>
      <c r="BO21" s="149">
        <v>6637.8715257739004</v>
      </c>
      <c r="BP21" s="149">
        <v>0</v>
      </c>
      <c r="BQ21" s="149">
        <v>6483.1186103340096</v>
      </c>
      <c r="BR21" s="149">
        <v>12644.078215817301</v>
      </c>
      <c r="BS21" s="149">
        <v>0</v>
      </c>
      <c r="BT21" s="149">
        <v>0</v>
      </c>
      <c r="BU21" s="149">
        <v>0</v>
      </c>
      <c r="BV21" s="149">
        <v>0</v>
      </c>
      <c r="BW21" s="149">
        <v>156479.299027706</v>
      </c>
      <c r="BX21" s="149">
        <v>80648.906345199997</v>
      </c>
      <c r="BY21" s="149">
        <v>80648.906345199997</v>
      </c>
      <c r="BZ21" s="149">
        <f t="shared" si="3"/>
        <v>237128.205372906</v>
      </c>
      <c r="CA21" s="55"/>
      <c r="CB21" s="648"/>
      <c r="CC21" s="97" t="s">
        <v>20</v>
      </c>
      <c r="CD21" s="153">
        <f>BZ21/'2020 Normalizing Denominators'!E20</f>
        <v>697.43589815560586</v>
      </c>
      <c r="CE21" s="26"/>
      <c r="CG21" s="170" t="s">
        <v>272</v>
      </c>
      <c r="CH21" s="171">
        <v>1940000</v>
      </c>
      <c r="CI21" s="175">
        <v>1.46937564618061</v>
      </c>
      <c r="CJ21" s="175">
        <v>1.5500791045198199</v>
      </c>
      <c r="CK21" s="176">
        <v>1.5914486343937799</v>
      </c>
      <c r="CL21" s="176">
        <v>1.5058215261163199</v>
      </c>
      <c r="CM21" s="173">
        <v>1626652.06012868</v>
      </c>
      <c r="CN21" s="152"/>
      <c r="CO21" s="648"/>
      <c r="CP21" s="97" t="s">
        <v>20</v>
      </c>
      <c r="CQ21" s="149">
        <v>758.47199999999998</v>
      </c>
      <c r="CR21" s="149">
        <v>0</v>
      </c>
      <c r="CS21" s="68"/>
      <c r="DJ21" s="633"/>
      <c r="DK21" s="150" t="s">
        <v>20</v>
      </c>
      <c r="DL21" s="157">
        <f t="shared" si="4"/>
        <v>0</v>
      </c>
      <c r="DM21" s="157">
        <f t="shared" si="5"/>
        <v>0.9530954931254384</v>
      </c>
      <c r="DN21" s="157">
        <f t="shared" si="6"/>
        <v>0</v>
      </c>
      <c r="DO21" s="157">
        <f t="shared" si="7"/>
        <v>5.4340026356400383E-4</v>
      </c>
      <c r="DP21" s="157">
        <f t="shared" si="8"/>
        <v>0</v>
      </c>
      <c r="DQ21" s="157">
        <f t="shared" si="9"/>
        <v>0</v>
      </c>
      <c r="DR21" s="157">
        <f t="shared" si="10"/>
        <v>4.6361106610999944E-2</v>
      </c>
      <c r="DS21" s="157">
        <f t="shared" si="11"/>
        <v>0</v>
      </c>
      <c r="DT21" s="181"/>
      <c r="DV21" s="573"/>
      <c r="DW21" s="573"/>
      <c r="DX21" s="573"/>
      <c r="DY21" s="573"/>
      <c r="DZ21" s="573"/>
      <c r="EA21" s="573"/>
      <c r="EC21" s="563" t="s">
        <v>367</v>
      </c>
      <c r="ED21" s="563"/>
      <c r="EE21" s="563"/>
    </row>
    <row r="22" spans="1:136" ht="26.65" customHeight="1" x14ac:dyDescent="0.2">
      <c r="A22" s="633" t="s">
        <v>168</v>
      </c>
      <c r="B22" s="120" t="s">
        <v>76</v>
      </c>
      <c r="C22" s="137">
        <f t="shared" ref="C22:W22" si="33">SUM(C23:C24)</f>
        <v>0</v>
      </c>
      <c r="D22" s="137">
        <f t="shared" si="33"/>
        <v>3961935.7678</v>
      </c>
      <c r="E22" s="137">
        <f t="shared" si="33"/>
        <v>0</v>
      </c>
      <c r="F22" s="137">
        <f t="shared" si="33"/>
        <v>14.022</v>
      </c>
      <c r="G22" s="137">
        <f t="shared" si="33"/>
        <v>2489680</v>
      </c>
      <c r="H22" s="137">
        <f t="shared" si="33"/>
        <v>35585.042399999998</v>
      </c>
      <c r="I22" s="137">
        <f t="shared" si="33"/>
        <v>0</v>
      </c>
      <c r="J22" s="137">
        <f t="shared" si="33"/>
        <v>0</v>
      </c>
      <c r="K22" s="137">
        <f t="shared" si="33"/>
        <v>6487214.8322000001</v>
      </c>
      <c r="L22" s="137">
        <f t="shared" si="33"/>
        <v>0</v>
      </c>
      <c r="M22" s="137">
        <f t="shared" si="33"/>
        <v>0</v>
      </c>
      <c r="N22" s="137">
        <f t="shared" si="33"/>
        <v>0</v>
      </c>
      <c r="O22" s="137">
        <f t="shared" si="33"/>
        <v>0</v>
      </c>
      <c r="P22" s="137">
        <f t="shared" si="33"/>
        <v>0</v>
      </c>
      <c r="Q22" s="137">
        <f t="shared" si="33"/>
        <v>6487214.8322000001</v>
      </c>
      <c r="R22" s="137">
        <f t="shared" si="33"/>
        <v>3752689.9248000002</v>
      </c>
      <c r="S22" s="137">
        <f t="shared" si="33"/>
        <v>0</v>
      </c>
      <c r="T22" s="137">
        <f t="shared" si="33"/>
        <v>0</v>
      </c>
      <c r="U22" s="137">
        <f t="shared" si="33"/>
        <v>0</v>
      </c>
      <c r="V22" s="137">
        <f t="shared" si="33"/>
        <v>3752689.9248000002</v>
      </c>
      <c r="W22" s="137">
        <f t="shared" si="33"/>
        <v>10239904.756999999</v>
      </c>
      <c r="X22" s="57"/>
      <c r="Y22" s="640" t="s">
        <v>368</v>
      </c>
      <c r="Z22" s="640"/>
      <c r="AA22" s="640"/>
      <c r="AB22" s="640"/>
      <c r="AC22" s="640"/>
      <c r="AD22" s="640"/>
      <c r="AE22" s="640"/>
      <c r="AF22" s="542"/>
      <c r="AG22" s="542"/>
      <c r="AH22" s="394"/>
      <c r="AJ22" s="633" t="s">
        <v>168</v>
      </c>
      <c r="AK22" s="120" t="s">
        <v>76</v>
      </c>
      <c r="AL22" s="138">
        <f t="shared" ref="AL22:AU22" si="34">SUM(AL23:AL24)</f>
        <v>2507238.7925999998</v>
      </c>
      <c r="AM22" s="138">
        <f t="shared" si="34"/>
        <v>17558.792600000001</v>
      </c>
      <c r="AN22" s="138">
        <f t="shared" si="34"/>
        <v>0</v>
      </c>
      <c r="AO22" s="138">
        <f t="shared" si="34"/>
        <v>0</v>
      </c>
      <c r="AP22" s="138">
        <f t="shared" si="34"/>
        <v>0</v>
      </c>
      <c r="AQ22" s="138">
        <f t="shared" si="34"/>
        <v>2489680</v>
      </c>
      <c r="AR22" s="138">
        <f t="shared" si="34"/>
        <v>0</v>
      </c>
      <c r="AS22" s="138">
        <f t="shared" si="34"/>
        <v>0</v>
      </c>
      <c r="AT22" s="138">
        <f t="shared" si="34"/>
        <v>0</v>
      </c>
      <c r="AU22" s="138">
        <f t="shared" si="34"/>
        <v>2507238.7925999998</v>
      </c>
      <c r="AV22" s="57"/>
      <c r="AW22" s="23"/>
      <c r="AX22" s="23"/>
      <c r="AY22" s="23"/>
      <c r="AZ22" s="23"/>
      <c r="BA22" s="23"/>
      <c r="BB22" s="23"/>
      <c r="BC22" s="23"/>
      <c r="BD22" s="525"/>
      <c r="BE22" s="525"/>
      <c r="BF22" s="16"/>
      <c r="BG22" s="633" t="s">
        <v>168</v>
      </c>
      <c r="BH22" s="92" t="s">
        <v>76</v>
      </c>
      <c r="BI22" s="138">
        <f t="shared" ref="BI22:BY22" si="35">SUM(BI23:BI24)</f>
        <v>0</v>
      </c>
      <c r="BJ22" s="138">
        <f t="shared" si="35"/>
        <v>279242.97957253398</v>
      </c>
      <c r="BK22" s="138">
        <f t="shared" si="35"/>
        <v>0</v>
      </c>
      <c r="BL22" s="138">
        <f t="shared" si="35"/>
        <v>0.9759312</v>
      </c>
      <c r="BM22" s="138">
        <f t="shared" si="35"/>
        <v>128293.2104</v>
      </c>
      <c r="BN22" s="138">
        <f t="shared" si="35"/>
        <v>2156.4535694400001</v>
      </c>
      <c r="BO22" s="138">
        <f t="shared" si="35"/>
        <v>0</v>
      </c>
      <c r="BP22" s="138">
        <f t="shared" si="35"/>
        <v>0</v>
      </c>
      <c r="BQ22" s="138">
        <f t="shared" si="35"/>
        <v>0</v>
      </c>
      <c r="BR22" s="138">
        <f t="shared" si="35"/>
        <v>0</v>
      </c>
      <c r="BS22" s="138">
        <f t="shared" si="35"/>
        <v>0</v>
      </c>
      <c r="BT22" s="138">
        <f t="shared" si="35"/>
        <v>158.82406355999998</v>
      </c>
      <c r="BU22" s="138">
        <f t="shared" si="35"/>
        <v>0</v>
      </c>
      <c r="BV22" s="138">
        <f t="shared" si="35"/>
        <v>0</v>
      </c>
      <c r="BW22" s="138">
        <f t="shared" si="35"/>
        <v>409852.44353673398</v>
      </c>
      <c r="BX22" s="138">
        <f t="shared" si="35"/>
        <v>927748.34251999995</v>
      </c>
      <c r="BY22" s="138">
        <f t="shared" si="35"/>
        <v>708841.43024000002</v>
      </c>
      <c r="BZ22" s="138">
        <f t="shared" si="3"/>
        <v>1118693.8737767339</v>
      </c>
      <c r="CA22" s="55"/>
      <c r="CB22" s="646" t="s">
        <v>168</v>
      </c>
      <c r="CC22" s="120" t="s">
        <v>76</v>
      </c>
      <c r="CD22" s="399">
        <f>BZ22/'2020 Normalizing Denominators'!E21</f>
        <v>865.19247778556371</v>
      </c>
      <c r="CE22" s="26"/>
      <c r="CG22" s="170" t="s">
        <v>273</v>
      </c>
      <c r="CH22" s="177" t="s">
        <v>93</v>
      </c>
      <c r="CI22" s="175">
        <v>1.6805635808538999</v>
      </c>
      <c r="CJ22" s="175">
        <v>1.7686831171203901</v>
      </c>
      <c r="CK22" s="176">
        <v>1.8127088040819099</v>
      </c>
      <c r="CL22" s="176">
        <v>1.72714174678451</v>
      </c>
      <c r="CM22" s="173">
        <v>1851608.41284629</v>
      </c>
      <c r="CN22" s="152"/>
      <c r="CO22" s="646" t="s">
        <v>168</v>
      </c>
      <c r="CP22" s="92" t="s">
        <v>76</v>
      </c>
      <c r="CQ22" s="138">
        <f>SUM(CQ23:CQ24)</f>
        <v>779.35</v>
      </c>
      <c r="CR22" s="138">
        <f>SUM(CR23:CR24)</f>
        <v>133.63200000000001</v>
      </c>
      <c r="CS22" s="68"/>
      <c r="DJ22" s="646" t="s">
        <v>168</v>
      </c>
      <c r="DK22" s="103" t="s">
        <v>76</v>
      </c>
      <c r="DL22" s="145">
        <f t="shared" si="4"/>
        <v>0</v>
      </c>
      <c r="DM22" s="145">
        <f t="shared" si="5"/>
        <v>0.6107298540715036</v>
      </c>
      <c r="DN22" s="145">
        <f t="shared" si="6"/>
        <v>0</v>
      </c>
      <c r="DO22" s="145">
        <f t="shared" si="7"/>
        <v>2.1614822944355519E-6</v>
      </c>
      <c r="DP22" s="145">
        <f t="shared" si="8"/>
        <v>0.38378257301457031</v>
      </c>
      <c r="DQ22" s="145">
        <f t="shared" si="9"/>
        <v>5.4854114316316071E-3</v>
      </c>
      <c r="DR22" s="145">
        <f t="shared" si="10"/>
        <v>0</v>
      </c>
      <c r="DS22" s="145">
        <f t="shared" si="11"/>
        <v>0</v>
      </c>
      <c r="DT22" s="181"/>
      <c r="EC22" s="564"/>
      <c r="ED22" s="564"/>
      <c r="EE22" s="564"/>
    </row>
    <row r="23" spans="1:136" ht="26.65" customHeight="1" x14ac:dyDescent="0.2">
      <c r="A23" s="633"/>
      <c r="B23" s="97" t="s">
        <v>169</v>
      </c>
      <c r="C23" s="147">
        <v>0</v>
      </c>
      <c r="D23" s="147">
        <v>3241944.7902000002</v>
      </c>
      <c r="E23" s="147">
        <v>0</v>
      </c>
      <c r="F23" s="147">
        <v>0</v>
      </c>
      <c r="G23" s="147">
        <v>0</v>
      </c>
      <c r="H23" s="147">
        <v>20941.3109</v>
      </c>
      <c r="I23" s="147">
        <v>0</v>
      </c>
      <c r="J23" s="147">
        <v>0</v>
      </c>
      <c r="K23" s="147">
        <v>3262886.1011000001</v>
      </c>
      <c r="L23" s="147">
        <v>0</v>
      </c>
      <c r="M23" s="147">
        <v>0</v>
      </c>
      <c r="N23" s="147">
        <v>0</v>
      </c>
      <c r="O23" s="147">
        <v>0</v>
      </c>
      <c r="P23" s="147">
        <v>0</v>
      </c>
      <c r="Q23" s="147">
        <v>3262886.1011000001</v>
      </c>
      <c r="R23" s="147">
        <v>3752689.9248000002</v>
      </c>
      <c r="S23" s="147">
        <v>0</v>
      </c>
      <c r="T23" s="147">
        <v>0</v>
      </c>
      <c r="U23" s="147">
        <v>0</v>
      </c>
      <c r="V23" s="147">
        <v>3752689.9248000002</v>
      </c>
      <c r="W23" s="147">
        <v>7015576.0258999998</v>
      </c>
      <c r="X23" s="57"/>
      <c r="Y23" s="636" t="s">
        <v>369</v>
      </c>
      <c r="Z23" s="636"/>
      <c r="AA23" s="552">
        <f>AA27</f>
        <v>14.455914331200001</v>
      </c>
      <c r="AB23" s="552">
        <f>AB27</f>
        <v>15.104646155599999</v>
      </c>
      <c r="AC23" s="552">
        <f>AC27</f>
        <v>15.894655203199999</v>
      </c>
      <c r="AD23" s="552">
        <f>16.13-2.18</f>
        <v>13.95</v>
      </c>
      <c r="AE23" s="552">
        <v>14.805006499599999</v>
      </c>
      <c r="AF23" s="543"/>
      <c r="AG23" s="543"/>
      <c r="AH23" s="394"/>
      <c r="AJ23" s="633"/>
      <c r="AK23" s="97" t="s">
        <v>169</v>
      </c>
      <c r="AL23" s="149">
        <v>0</v>
      </c>
      <c r="AM23" s="149">
        <v>0</v>
      </c>
      <c r="AN23" s="149">
        <v>0</v>
      </c>
      <c r="AO23" s="149">
        <v>0</v>
      </c>
      <c r="AP23" s="149">
        <v>0</v>
      </c>
      <c r="AQ23" s="149">
        <v>0</v>
      </c>
      <c r="AR23" s="149">
        <v>0</v>
      </c>
      <c r="AS23" s="149">
        <v>0</v>
      </c>
      <c r="AT23" s="149">
        <v>0</v>
      </c>
      <c r="AU23" s="149">
        <v>0</v>
      </c>
      <c r="AV23" s="57"/>
      <c r="AW23" s="23"/>
      <c r="AX23" s="23"/>
      <c r="AY23" s="23"/>
      <c r="AZ23" s="23"/>
      <c r="BA23" s="23"/>
      <c r="BB23" s="23"/>
      <c r="BC23" s="23"/>
      <c r="BD23" s="525"/>
      <c r="BE23" s="525"/>
      <c r="BF23" s="16"/>
      <c r="BG23" s="633"/>
      <c r="BH23" s="97" t="s">
        <v>169</v>
      </c>
      <c r="BI23" s="149">
        <v>0</v>
      </c>
      <c r="BJ23" s="149">
        <v>228489.619756284</v>
      </c>
      <c r="BK23" s="149">
        <v>0</v>
      </c>
      <c r="BL23" s="149">
        <v>0</v>
      </c>
      <c r="BM23" s="149">
        <v>0</v>
      </c>
      <c r="BN23" s="149">
        <v>1269.0434405399999</v>
      </c>
      <c r="BO23" s="149">
        <v>0</v>
      </c>
      <c r="BP23" s="149">
        <v>0</v>
      </c>
      <c r="BQ23" s="149">
        <v>0</v>
      </c>
      <c r="BR23" s="149">
        <v>0</v>
      </c>
      <c r="BS23" s="149">
        <v>0</v>
      </c>
      <c r="BT23" s="149">
        <v>133.35557435999999</v>
      </c>
      <c r="BU23" s="149">
        <v>0</v>
      </c>
      <c r="BV23" s="149">
        <v>0</v>
      </c>
      <c r="BW23" s="149">
        <v>229892.018771184</v>
      </c>
      <c r="BX23" s="149">
        <v>927748.34251999995</v>
      </c>
      <c r="BY23" s="149">
        <v>708841.43024000002</v>
      </c>
      <c r="BZ23" s="149">
        <f t="shared" si="3"/>
        <v>938733.44901118404</v>
      </c>
      <c r="CA23" s="55"/>
      <c r="CB23" s="647"/>
      <c r="CC23" s="97" t="s">
        <v>169</v>
      </c>
      <c r="CD23" s="153">
        <f>BZ23/'2020 Normalizing Denominators'!E22</f>
        <v>1176.3577055277995</v>
      </c>
      <c r="CE23" s="26"/>
      <c r="CG23" s="170" t="s">
        <v>274</v>
      </c>
      <c r="CH23" s="171">
        <v>3743000</v>
      </c>
      <c r="CI23" s="175">
        <f>1.451+1.681</f>
        <v>3.1320000000000001</v>
      </c>
      <c r="CJ23" s="175">
        <f>1.663+1.769</f>
        <v>3.4319999999999999</v>
      </c>
      <c r="CK23" s="175">
        <f>1.757+1.813</f>
        <v>3.57</v>
      </c>
      <c r="CL23" s="175">
        <f>1.591+1.727</f>
        <v>3.3180000000000001</v>
      </c>
      <c r="CM23" s="173">
        <f>SUM(CM20,CM22)</f>
        <v>3455480.76207108</v>
      </c>
      <c r="CN23" s="152"/>
      <c r="CO23" s="647"/>
      <c r="CP23" s="97" t="s">
        <v>169</v>
      </c>
      <c r="CQ23" s="149">
        <v>534.82000000000005</v>
      </c>
      <c r="CR23" s="149">
        <v>0</v>
      </c>
      <c r="CS23" s="68"/>
      <c r="CT23" s="7"/>
      <c r="DJ23" s="647"/>
      <c r="DK23" s="150" t="s">
        <v>169</v>
      </c>
      <c r="DL23" s="157">
        <f t="shared" si="4"/>
        <v>0</v>
      </c>
      <c r="DM23" s="157">
        <f t="shared" si="5"/>
        <v>0.99358196693015421</v>
      </c>
      <c r="DN23" s="157">
        <f t="shared" si="6"/>
        <v>0</v>
      </c>
      <c r="DO23" s="157">
        <f t="shared" si="7"/>
        <v>0</v>
      </c>
      <c r="DP23" s="157">
        <f t="shared" si="8"/>
        <v>0</v>
      </c>
      <c r="DQ23" s="157">
        <f t="shared" si="9"/>
        <v>6.4180330698457915E-3</v>
      </c>
      <c r="DR23" s="157">
        <f t="shared" si="10"/>
        <v>0</v>
      </c>
      <c r="DS23" s="157">
        <f t="shared" si="11"/>
        <v>0</v>
      </c>
      <c r="DT23" s="181"/>
      <c r="EC23" s="564"/>
      <c r="ED23" s="564"/>
      <c r="EE23" s="564"/>
    </row>
    <row r="24" spans="1:136" ht="32.450000000000003" customHeight="1" x14ac:dyDescent="0.2">
      <c r="A24" s="633"/>
      <c r="B24" s="97" t="s">
        <v>14</v>
      </c>
      <c r="C24" s="147">
        <v>0</v>
      </c>
      <c r="D24" s="147">
        <v>719990.97759999998</v>
      </c>
      <c r="E24" s="147">
        <v>0</v>
      </c>
      <c r="F24" s="147">
        <v>14.022</v>
      </c>
      <c r="G24" s="147">
        <v>2489680</v>
      </c>
      <c r="H24" s="147">
        <v>14643.7315</v>
      </c>
      <c r="I24" s="147">
        <v>0</v>
      </c>
      <c r="J24" s="147">
        <v>0</v>
      </c>
      <c r="K24" s="147">
        <v>3224328.7311</v>
      </c>
      <c r="L24" s="147">
        <v>0</v>
      </c>
      <c r="M24" s="147">
        <v>0</v>
      </c>
      <c r="N24" s="147">
        <v>0</v>
      </c>
      <c r="O24" s="147">
        <v>0</v>
      </c>
      <c r="P24" s="147">
        <v>0</v>
      </c>
      <c r="Q24" s="147">
        <v>3224328.7311</v>
      </c>
      <c r="R24" s="147">
        <v>0</v>
      </c>
      <c r="S24" s="147">
        <v>0</v>
      </c>
      <c r="T24" s="147">
        <v>0</v>
      </c>
      <c r="U24" s="147">
        <v>0</v>
      </c>
      <c r="V24" s="147">
        <v>0</v>
      </c>
      <c r="W24" s="147">
        <v>3224328.7311</v>
      </c>
      <c r="X24" s="57"/>
      <c r="Y24" s="636" t="s">
        <v>243</v>
      </c>
      <c r="Z24" s="636"/>
      <c r="AA24" s="552">
        <v>0</v>
      </c>
      <c r="AB24" s="552">
        <v>0</v>
      </c>
      <c r="AC24" s="552">
        <v>0</v>
      </c>
      <c r="AD24" s="552">
        <v>0</v>
      </c>
      <c r="AE24" s="552">
        <f>HLOOKUP(Y24,$C$3:$W$25,23,FALSE)/1000000</f>
        <v>0</v>
      </c>
      <c r="AF24" s="543"/>
      <c r="AG24" s="543"/>
      <c r="AH24" s="394"/>
      <c r="AJ24" s="633"/>
      <c r="AK24" s="97" t="s">
        <v>14</v>
      </c>
      <c r="AL24" s="149">
        <v>2507238.7925999998</v>
      </c>
      <c r="AM24" s="149">
        <v>17558.792600000001</v>
      </c>
      <c r="AN24" s="149">
        <v>0</v>
      </c>
      <c r="AO24" s="149">
        <v>0</v>
      </c>
      <c r="AP24" s="149">
        <v>0</v>
      </c>
      <c r="AQ24" s="149">
        <v>2489680</v>
      </c>
      <c r="AR24" s="149">
        <v>0</v>
      </c>
      <c r="AS24" s="149">
        <v>0</v>
      </c>
      <c r="AT24" s="149">
        <v>0</v>
      </c>
      <c r="AU24" s="149">
        <v>2507238.7925999998</v>
      </c>
      <c r="AV24" s="57"/>
      <c r="AW24" s="23"/>
      <c r="AX24" s="23"/>
      <c r="AY24" s="23"/>
      <c r="AZ24" s="23"/>
      <c r="BA24" s="23"/>
      <c r="BB24" s="23"/>
      <c r="BC24" s="23"/>
      <c r="BD24" s="525"/>
      <c r="BE24" s="525"/>
      <c r="BF24" s="16"/>
      <c r="BG24" s="633"/>
      <c r="BH24" s="97" t="s">
        <v>14</v>
      </c>
      <c r="BI24" s="149">
        <v>0</v>
      </c>
      <c r="BJ24" s="149">
        <v>50753.359816249998</v>
      </c>
      <c r="BK24" s="149">
        <v>0</v>
      </c>
      <c r="BL24" s="149">
        <v>0.9759312</v>
      </c>
      <c r="BM24" s="149">
        <v>128293.2104</v>
      </c>
      <c r="BN24" s="149">
        <v>887.41012890000002</v>
      </c>
      <c r="BO24" s="149">
        <v>0</v>
      </c>
      <c r="BP24" s="149">
        <v>0</v>
      </c>
      <c r="BQ24" s="149">
        <v>0</v>
      </c>
      <c r="BR24" s="149">
        <v>0</v>
      </c>
      <c r="BS24" s="149">
        <v>0</v>
      </c>
      <c r="BT24" s="149">
        <v>25.4684892</v>
      </c>
      <c r="BU24" s="149">
        <v>0</v>
      </c>
      <c r="BV24" s="149">
        <v>0</v>
      </c>
      <c r="BW24" s="149">
        <v>179960.42476555001</v>
      </c>
      <c r="BX24" s="149">
        <v>0</v>
      </c>
      <c r="BY24" s="149">
        <v>0</v>
      </c>
      <c r="BZ24" s="149">
        <f t="shared" si="3"/>
        <v>179960.42476555001</v>
      </c>
      <c r="CA24" s="55"/>
      <c r="CB24" s="648"/>
      <c r="CC24" s="97" t="s">
        <v>14</v>
      </c>
      <c r="CD24" s="153">
        <f>BZ24/'2020 Normalizing Denominators'!E23</f>
        <v>363.5564136677778</v>
      </c>
      <c r="CE24" s="26"/>
      <c r="CG24" s="566" t="s">
        <v>370</v>
      </c>
      <c r="CH24" s="566"/>
      <c r="CI24" s="566"/>
      <c r="CJ24" s="566"/>
      <c r="CK24" s="566"/>
      <c r="CL24" s="566"/>
      <c r="CM24" s="566"/>
      <c r="CN24" s="187"/>
      <c r="CO24" s="648"/>
      <c r="CP24" s="97" t="s">
        <v>14</v>
      </c>
      <c r="CQ24" s="149">
        <v>244.53</v>
      </c>
      <c r="CR24" s="149">
        <v>133.63200000000001</v>
      </c>
      <c r="CS24" s="26"/>
      <c r="CT24" s="7"/>
      <c r="DJ24" s="648"/>
      <c r="DK24" s="150" t="s">
        <v>14</v>
      </c>
      <c r="DL24" s="157">
        <f t="shared" si="4"/>
        <v>0</v>
      </c>
      <c r="DM24" s="157">
        <f t="shared" si="5"/>
        <v>0.22329949507176042</v>
      </c>
      <c r="DN24" s="157">
        <f t="shared" si="6"/>
        <v>0</v>
      </c>
      <c r="DO24" s="157">
        <f t="shared" si="7"/>
        <v>4.3488121619709371E-6</v>
      </c>
      <c r="DP24" s="157">
        <f t="shared" si="8"/>
        <v>0.77215451885721031</v>
      </c>
      <c r="DQ24" s="157">
        <f t="shared" si="9"/>
        <v>4.5416372588672742E-3</v>
      </c>
      <c r="DR24" s="157">
        <f t="shared" si="10"/>
        <v>0</v>
      </c>
      <c r="DS24" s="157">
        <f t="shared" si="11"/>
        <v>0</v>
      </c>
      <c r="DT24" s="181"/>
      <c r="EC24" s="564"/>
      <c r="ED24" s="564"/>
      <c r="EE24" s="564"/>
    </row>
    <row r="25" spans="1:136" ht="26.65" customHeight="1" x14ac:dyDescent="0.2">
      <c r="A25" s="54" t="s">
        <v>170</v>
      </c>
      <c r="B25" s="120" t="s">
        <v>90</v>
      </c>
      <c r="C25" s="137">
        <f t="shared" ref="C25:W25" si="36">SUM(C5,C8,C10,C14,C16,C18,C20,C22)</f>
        <v>0</v>
      </c>
      <c r="D25" s="137">
        <f t="shared" si="36"/>
        <v>16892829.640728351</v>
      </c>
      <c r="E25" s="137">
        <f t="shared" si="36"/>
        <v>10134.3064367155</v>
      </c>
      <c r="F25" s="137">
        <f t="shared" si="36"/>
        <v>99808.63076824187</v>
      </c>
      <c r="G25" s="137">
        <f t="shared" si="36"/>
        <v>3084914.0241439999</v>
      </c>
      <c r="H25" s="137">
        <f t="shared" si="36"/>
        <v>398977.45359262743</v>
      </c>
      <c r="I25" s="137">
        <f t="shared" si="36"/>
        <v>1871210.5662067914</v>
      </c>
      <c r="J25" s="137">
        <f t="shared" si="36"/>
        <v>96915.324820000009</v>
      </c>
      <c r="K25" s="137">
        <f t="shared" si="36"/>
        <v>22454789.946696721</v>
      </c>
      <c r="L25" s="137">
        <f t="shared" si="36"/>
        <v>0</v>
      </c>
      <c r="M25" s="137">
        <f t="shared" si="36"/>
        <v>0</v>
      </c>
      <c r="N25" s="137">
        <f t="shared" si="36"/>
        <v>9224.6342399999994</v>
      </c>
      <c r="O25" s="137">
        <f t="shared" si="36"/>
        <v>124368.40015215101</v>
      </c>
      <c r="P25" s="137">
        <f t="shared" si="36"/>
        <v>133593.03439215099</v>
      </c>
      <c r="Q25" s="137">
        <f t="shared" si="36"/>
        <v>22588382.981088869</v>
      </c>
      <c r="R25" s="137">
        <f t="shared" si="36"/>
        <v>14805006.499600001</v>
      </c>
      <c r="S25" s="137">
        <f t="shared" si="36"/>
        <v>0</v>
      </c>
      <c r="T25" s="137">
        <f t="shared" si="36"/>
        <v>0</v>
      </c>
      <c r="U25" s="137">
        <f t="shared" si="36"/>
        <v>0</v>
      </c>
      <c r="V25" s="137">
        <f t="shared" si="36"/>
        <v>14805006.499600001</v>
      </c>
      <c r="W25" s="137">
        <f t="shared" si="36"/>
        <v>37393389.48068887</v>
      </c>
      <c r="X25" s="57"/>
      <c r="Y25" s="636" t="s">
        <v>244</v>
      </c>
      <c r="Z25" s="636"/>
      <c r="AA25" s="552">
        <v>0</v>
      </c>
      <c r="AB25" s="552">
        <v>0</v>
      </c>
      <c r="AC25" s="552">
        <v>0</v>
      </c>
      <c r="AD25" s="552">
        <v>0</v>
      </c>
      <c r="AE25" s="552">
        <f>HLOOKUP(Y25,$C$3:$W$25,23,FALSE)/1000000</f>
        <v>0</v>
      </c>
      <c r="AF25" s="543"/>
      <c r="AG25" s="543"/>
      <c r="AH25" s="394"/>
      <c r="AJ25" s="54" t="s">
        <v>170</v>
      </c>
      <c r="AK25" s="120" t="s">
        <v>90</v>
      </c>
      <c r="AL25" s="138">
        <f t="shared" ref="AL25:AU25" si="37">SUM(AL5,AL8,AL10,AL14,AL16,AL18,AL20,AL22)</f>
        <v>4331051.6352004651</v>
      </c>
      <c r="AM25" s="138">
        <f t="shared" si="37"/>
        <v>43891.085601001454</v>
      </c>
      <c r="AN25" s="138">
        <f t="shared" si="37"/>
        <v>1785461.69556409</v>
      </c>
      <c r="AO25" s="138">
        <f t="shared" si="37"/>
        <v>0</v>
      </c>
      <c r="AP25" s="138">
        <f t="shared" si="37"/>
        <v>0</v>
      </c>
      <c r="AQ25" s="138">
        <f t="shared" si="37"/>
        <v>2489680</v>
      </c>
      <c r="AR25" s="138">
        <f t="shared" si="37"/>
        <v>9224.6342399999994</v>
      </c>
      <c r="AS25" s="138">
        <f t="shared" si="37"/>
        <v>2794.2197953736718</v>
      </c>
      <c r="AT25" s="138">
        <f t="shared" si="37"/>
        <v>0</v>
      </c>
      <c r="AU25" s="138">
        <f t="shared" si="37"/>
        <v>4331051.6352004651</v>
      </c>
      <c r="AV25" s="57"/>
      <c r="AW25" s="23"/>
      <c r="AX25" s="23"/>
      <c r="AY25" s="23"/>
      <c r="AZ25" s="23"/>
      <c r="BA25" s="23"/>
      <c r="BB25" s="23"/>
      <c r="BC25" s="23"/>
      <c r="BD25" s="525"/>
      <c r="BE25" s="525"/>
      <c r="BF25" s="16"/>
      <c r="BG25" s="54" t="s">
        <v>170</v>
      </c>
      <c r="BH25" s="120" t="s">
        <v>50</v>
      </c>
      <c r="BI25" s="138">
        <f t="shared" ref="BI25:BY25" si="38">SUM(BI5,BI8,BI10,BI14,BI16,BI18,BI20,BI22)</f>
        <v>0</v>
      </c>
      <c r="BJ25" s="138">
        <f t="shared" si="38"/>
        <v>1236959.5496732765</v>
      </c>
      <c r="BK25" s="138">
        <f t="shared" si="38"/>
        <v>140.86685947034499</v>
      </c>
      <c r="BL25" s="138">
        <f t="shared" si="38"/>
        <v>6832.8864184378708</v>
      </c>
      <c r="BM25" s="138">
        <f t="shared" si="38"/>
        <v>161840.99716077189</v>
      </c>
      <c r="BN25" s="138">
        <f t="shared" si="38"/>
        <v>24203.671562533153</v>
      </c>
      <c r="BO25" s="138">
        <f t="shared" si="38"/>
        <v>144851.5326564069</v>
      </c>
      <c r="BP25" s="138">
        <f t="shared" si="38"/>
        <v>7111.3041959871107</v>
      </c>
      <c r="BQ25" s="138">
        <f t="shared" si="38"/>
        <v>9105.9873435332102</v>
      </c>
      <c r="BR25" s="138">
        <f t="shared" si="38"/>
        <v>12644.078215817301</v>
      </c>
      <c r="BS25" s="138">
        <f t="shared" si="38"/>
        <v>0</v>
      </c>
      <c r="BT25" s="138">
        <f t="shared" si="38"/>
        <v>158.82406355999998</v>
      </c>
      <c r="BU25" s="138">
        <f t="shared" si="38"/>
        <v>0</v>
      </c>
      <c r="BV25" s="138">
        <f t="shared" si="38"/>
        <v>22.651074999999999</v>
      </c>
      <c r="BW25" s="138">
        <f t="shared" si="38"/>
        <v>1603872.3492247944</v>
      </c>
      <c r="BX25" s="138">
        <f t="shared" si="38"/>
        <v>1851608.4128462852</v>
      </c>
      <c r="BY25" s="138">
        <f t="shared" si="38"/>
        <v>1626652.0601286758</v>
      </c>
      <c r="BZ25" s="138">
        <f>SUM(BW25,BX25)</f>
        <v>3455480.7620710796</v>
      </c>
      <c r="CA25" s="55"/>
      <c r="CB25" s="54" t="s">
        <v>170</v>
      </c>
      <c r="CC25" s="120" t="s">
        <v>90</v>
      </c>
      <c r="CD25" s="399">
        <f>BZ25/'2020 Normalizing Denominators'!E24</f>
        <v>631.36867569360129</v>
      </c>
      <c r="CE25" s="26"/>
      <c r="CG25" s="573"/>
      <c r="CH25" s="573"/>
      <c r="CI25" s="573"/>
      <c r="CJ25" s="573"/>
      <c r="CK25" s="573"/>
      <c r="CL25" s="573"/>
      <c r="CM25" s="573"/>
      <c r="CN25" s="187"/>
      <c r="CO25" s="54" t="s">
        <v>170</v>
      </c>
      <c r="CP25" s="120" t="s">
        <v>50</v>
      </c>
      <c r="CQ25" s="138">
        <f>SUM(CQ5,CQ8,CQ10,CQ14,CQ16,CQ18,CQ20,CQ22)</f>
        <v>6230.9088966109703</v>
      </c>
      <c r="CR25" s="138">
        <f>SUM(CR5,CR8,CR10,CR14,CR16,CR18,CR20,CR22)</f>
        <v>2350.6704</v>
      </c>
      <c r="CS25" s="26"/>
      <c r="DJ25" s="42" t="s">
        <v>170</v>
      </c>
      <c r="DK25" s="103" t="s">
        <v>50</v>
      </c>
      <c r="DL25" s="178">
        <f t="shared" si="4"/>
        <v>0</v>
      </c>
      <c r="DM25" s="178">
        <f t="shared" si="5"/>
        <v>0.75230405988337556</v>
      </c>
      <c r="DN25" s="178">
        <f t="shared" si="6"/>
        <v>4.5132047375069466E-4</v>
      </c>
      <c r="DO25" s="178">
        <f t="shared" si="7"/>
        <v>4.4448703820061568E-3</v>
      </c>
      <c r="DP25" s="178">
        <f t="shared" si="8"/>
        <v>0.1373833392103414</v>
      </c>
      <c r="DQ25" s="178">
        <f t="shared" si="9"/>
        <v>1.7768033214281758E-2</v>
      </c>
      <c r="DR25" s="178">
        <f t="shared" si="10"/>
        <v>8.3332356733181623E-2</v>
      </c>
      <c r="DS25" s="178">
        <f t="shared" si="11"/>
        <v>4.3160201030630002E-3</v>
      </c>
      <c r="DT25" s="181"/>
      <c r="EC25" s="47"/>
      <c r="ED25" s="47"/>
      <c r="EE25" s="47"/>
    </row>
    <row r="26" spans="1:136" ht="30.75" customHeight="1" x14ac:dyDescent="0.2">
      <c r="A26" s="566" t="s">
        <v>371</v>
      </c>
      <c r="B26" s="566"/>
      <c r="C26" s="566"/>
      <c r="D26" s="566"/>
      <c r="E26" s="566"/>
      <c r="F26" s="566"/>
      <c r="G26" s="566"/>
      <c r="H26" s="566"/>
      <c r="I26" s="566"/>
      <c r="J26" s="566"/>
      <c r="K26" s="566"/>
      <c r="L26" s="566"/>
      <c r="M26" s="566"/>
      <c r="N26" s="566"/>
      <c r="O26" s="566"/>
      <c r="P26" s="566"/>
      <c r="Q26" s="566"/>
      <c r="R26" s="634"/>
      <c r="S26" s="566"/>
      <c r="T26" s="566"/>
      <c r="U26" s="566"/>
      <c r="V26" s="566"/>
      <c r="W26" s="566"/>
      <c r="X26" s="394"/>
      <c r="Y26" s="636" t="s">
        <v>245</v>
      </c>
      <c r="Z26" s="636"/>
      <c r="AA26" s="552">
        <v>0</v>
      </c>
      <c r="AB26" s="552">
        <v>0</v>
      </c>
      <c r="AC26" s="552">
        <v>0</v>
      </c>
      <c r="AD26" s="552">
        <v>0</v>
      </c>
      <c r="AE26" s="552">
        <f>HLOOKUP(Y26,$C$3:$W$25,23,FALSE)/1000000</f>
        <v>0</v>
      </c>
      <c r="AF26" s="543"/>
      <c r="AG26" s="543"/>
      <c r="AH26" s="394"/>
      <c r="AJ26" s="566" t="s">
        <v>372</v>
      </c>
      <c r="AK26" s="566"/>
      <c r="AL26" s="566"/>
      <c r="AM26" s="566"/>
      <c r="AN26" s="566"/>
      <c r="AO26" s="566"/>
      <c r="AP26" s="566"/>
      <c r="AQ26" s="566"/>
      <c r="AR26" s="566"/>
      <c r="AS26" s="566"/>
      <c r="AT26" s="566"/>
      <c r="AU26" s="566"/>
      <c r="AV26" s="23"/>
      <c r="AW26" s="23"/>
      <c r="AX26" s="23"/>
      <c r="AY26" s="23"/>
      <c r="AZ26" s="23"/>
      <c r="BA26" s="23"/>
      <c r="BB26" s="23"/>
      <c r="BC26" s="23"/>
      <c r="BD26" s="525"/>
      <c r="BE26" s="525"/>
      <c r="BF26" s="23"/>
      <c r="BG26" s="566" t="s">
        <v>373</v>
      </c>
      <c r="BH26" s="566"/>
      <c r="BI26" s="566"/>
      <c r="BJ26" s="566"/>
      <c r="BK26" s="566"/>
      <c r="BL26" s="566"/>
      <c r="BM26" s="566"/>
      <c r="BN26" s="566"/>
      <c r="BO26" s="566"/>
      <c r="BP26" s="566"/>
      <c r="BQ26" s="566"/>
      <c r="BR26" s="566"/>
      <c r="BS26" s="566"/>
      <c r="BT26" s="566"/>
      <c r="BU26" s="566"/>
      <c r="BV26" s="566"/>
      <c r="BW26" s="566"/>
      <c r="BX26" s="566"/>
      <c r="BY26" s="566"/>
      <c r="BZ26" s="566"/>
      <c r="CB26" s="81"/>
      <c r="CC26" s="81"/>
      <c r="CD26" s="81"/>
      <c r="CG26" s="573"/>
      <c r="CH26" s="573"/>
      <c r="CI26" s="573"/>
      <c r="CJ26" s="573"/>
      <c r="CK26" s="573"/>
      <c r="CL26" s="573"/>
      <c r="CM26" s="573"/>
      <c r="CN26" s="47"/>
      <c r="CO26" s="15"/>
      <c r="CP26" s="15"/>
      <c r="CQ26" s="15"/>
      <c r="CR26" s="81"/>
      <c r="CS26" s="7"/>
      <c r="DJ26" s="566" t="s">
        <v>374</v>
      </c>
      <c r="DK26" s="566"/>
      <c r="DL26" s="566"/>
      <c r="DM26" s="566"/>
      <c r="DN26" s="566"/>
      <c r="DO26" s="566"/>
      <c r="DP26" s="566"/>
      <c r="DQ26" s="566"/>
      <c r="DR26" s="566"/>
      <c r="DS26" s="566"/>
      <c r="DT26" s="34"/>
      <c r="EC26" s="47"/>
      <c r="ED26" s="47"/>
      <c r="EE26" s="47"/>
    </row>
    <row r="27" spans="1:136" ht="15.75" customHeight="1" x14ac:dyDescent="0.2">
      <c r="A27" s="573"/>
      <c r="B27" s="573"/>
      <c r="C27" s="573"/>
      <c r="D27" s="573"/>
      <c r="E27" s="573"/>
      <c r="F27" s="573"/>
      <c r="G27" s="573"/>
      <c r="H27" s="573"/>
      <c r="I27" s="573"/>
      <c r="J27" s="573"/>
      <c r="K27" s="573"/>
      <c r="L27" s="573"/>
      <c r="M27" s="573"/>
      <c r="N27" s="573"/>
      <c r="O27" s="573"/>
      <c r="P27" s="573"/>
      <c r="Q27" s="573"/>
      <c r="R27" s="635"/>
      <c r="S27" s="573"/>
      <c r="T27" s="573"/>
      <c r="U27" s="573"/>
      <c r="V27" s="573"/>
      <c r="W27" s="573"/>
      <c r="X27" s="394"/>
      <c r="Y27" s="638" t="s">
        <v>246</v>
      </c>
      <c r="Z27" s="638"/>
      <c r="AA27" s="554">
        <v>14.455914331200001</v>
      </c>
      <c r="AB27" s="554">
        <v>15.104646155599999</v>
      </c>
      <c r="AC27" s="554">
        <v>15.894655203199999</v>
      </c>
      <c r="AD27" s="554">
        <f>SUM(AD23:AD26)</f>
        <v>13.95</v>
      </c>
      <c r="AE27" s="554">
        <f>SUM(AE23:AE26)</f>
        <v>14.805006499599999</v>
      </c>
      <c r="AF27" s="544"/>
      <c r="AG27" s="544"/>
      <c r="AH27" s="394"/>
      <c r="AJ27" s="573"/>
      <c r="AK27" s="573"/>
      <c r="AL27" s="573"/>
      <c r="AM27" s="573"/>
      <c r="AN27" s="573"/>
      <c r="AO27" s="573"/>
      <c r="AP27" s="573"/>
      <c r="AQ27" s="573"/>
      <c r="AR27" s="573"/>
      <c r="AS27" s="573"/>
      <c r="AT27" s="573"/>
      <c r="AU27" s="573"/>
      <c r="AV27" s="23"/>
      <c r="AW27" s="23"/>
      <c r="AX27" s="23"/>
      <c r="AY27" s="23"/>
      <c r="AZ27" s="23"/>
      <c r="BA27" s="23"/>
      <c r="BB27" s="23"/>
      <c r="BC27" s="23"/>
      <c r="BD27" s="525"/>
      <c r="BE27" s="525"/>
      <c r="BF27" s="23"/>
      <c r="BG27" s="573"/>
      <c r="BH27" s="573"/>
      <c r="BI27" s="573"/>
      <c r="BJ27" s="573"/>
      <c r="BK27" s="573"/>
      <c r="BL27" s="573"/>
      <c r="BM27" s="573"/>
      <c r="BN27" s="573"/>
      <c r="BO27" s="573"/>
      <c r="BP27" s="573"/>
      <c r="BQ27" s="573"/>
      <c r="BR27" s="573"/>
      <c r="BS27" s="573"/>
      <c r="BT27" s="573"/>
      <c r="BU27" s="573"/>
      <c r="BV27" s="573"/>
      <c r="BW27" s="573"/>
      <c r="BX27" s="573"/>
      <c r="BY27" s="573"/>
      <c r="BZ27" s="573"/>
      <c r="CG27" s="573"/>
      <c r="CH27" s="573"/>
      <c r="CI27" s="573"/>
      <c r="CJ27" s="573"/>
      <c r="CK27" s="573"/>
      <c r="CL27" s="573"/>
      <c r="CM27" s="573"/>
      <c r="CN27" s="23"/>
      <c r="CO27" s="23"/>
      <c r="CP27" s="23"/>
      <c r="CS27" s="7"/>
      <c r="DT27" s="34"/>
    </row>
    <row r="28" spans="1:136" ht="15.75" customHeight="1" x14ac:dyDescent="0.2">
      <c r="A28" s="7"/>
      <c r="C28" s="7"/>
      <c r="D28" s="7"/>
      <c r="E28" s="7"/>
      <c r="F28" s="7"/>
      <c r="G28" s="7"/>
      <c r="H28" s="7"/>
      <c r="I28" s="34"/>
      <c r="J28" s="34"/>
      <c r="K28" s="34"/>
      <c r="L28" s="34"/>
      <c r="M28" s="34"/>
      <c r="N28" s="34"/>
      <c r="O28" s="34"/>
      <c r="P28" s="34"/>
      <c r="Q28" s="34"/>
      <c r="R28" s="34"/>
      <c r="S28" s="34"/>
      <c r="T28" s="34"/>
      <c r="U28" s="34"/>
      <c r="V28" s="34"/>
      <c r="W28" s="34"/>
      <c r="X28" s="394"/>
      <c r="Y28" s="637" t="s">
        <v>247</v>
      </c>
      <c r="Z28" s="637"/>
      <c r="AA28" s="555">
        <v>34.837559739200003</v>
      </c>
      <c r="AB28" s="555">
        <v>38.5028814856</v>
      </c>
      <c r="AC28" s="555">
        <v>40.590990891200001</v>
      </c>
      <c r="AD28" s="555">
        <f>SUM(AD21,AD27)</f>
        <v>37.9</v>
      </c>
      <c r="AE28" s="555">
        <f>SUM(AE21,AE27)</f>
        <v>37.393389480688867</v>
      </c>
      <c r="AF28" s="544"/>
      <c r="AG28" s="544"/>
      <c r="AH28" s="394"/>
      <c r="AJ28" s="573"/>
      <c r="AK28" s="573"/>
      <c r="AL28" s="573"/>
      <c r="AM28" s="573"/>
      <c r="AN28" s="573"/>
      <c r="AO28" s="573"/>
      <c r="AP28" s="573"/>
      <c r="AQ28" s="573"/>
      <c r="AR28" s="573"/>
      <c r="AS28" s="573"/>
      <c r="AT28" s="573"/>
      <c r="AU28" s="573"/>
      <c r="AV28" s="23"/>
      <c r="AW28" s="23"/>
      <c r="AX28" s="23"/>
      <c r="AY28" s="23"/>
      <c r="AZ28" s="23"/>
      <c r="BA28" s="23"/>
      <c r="BB28" s="23"/>
      <c r="BC28" s="23"/>
      <c r="BD28" s="525"/>
      <c r="BE28" s="525"/>
      <c r="BF28" s="23"/>
      <c r="BG28" s="573"/>
      <c r="BH28" s="573"/>
      <c r="BI28" s="573"/>
      <c r="BJ28" s="573"/>
      <c r="BK28" s="573"/>
      <c r="BL28" s="573"/>
      <c r="BM28" s="573"/>
      <c r="BN28" s="573"/>
      <c r="BO28" s="573"/>
      <c r="BP28" s="573"/>
      <c r="BQ28" s="573"/>
      <c r="BR28" s="573"/>
      <c r="BS28" s="573"/>
      <c r="BT28" s="573"/>
      <c r="BU28" s="573"/>
      <c r="BV28" s="573"/>
      <c r="BW28" s="573"/>
      <c r="BX28" s="573"/>
      <c r="BY28" s="573"/>
      <c r="BZ28" s="573"/>
      <c r="CG28" s="573"/>
      <c r="CH28" s="573"/>
      <c r="CI28" s="573"/>
      <c r="CJ28" s="573"/>
      <c r="CK28" s="573"/>
      <c r="CL28" s="573"/>
      <c r="CM28" s="573"/>
      <c r="CN28" s="23"/>
      <c r="CO28" s="23"/>
      <c r="CP28" s="23"/>
      <c r="CS28" s="7"/>
      <c r="DT28" s="34"/>
    </row>
    <row r="29" spans="1:136" ht="15.75" customHeight="1" x14ac:dyDescent="0.2">
      <c r="A29" s="7"/>
      <c r="I29" s="23"/>
      <c r="J29" s="23"/>
      <c r="K29" s="23"/>
      <c r="L29" s="23"/>
      <c r="M29" s="23"/>
      <c r="N29" s="23"/>
      <c r="O29" s="23"/>
      <c r="P29" s="23"/>
      <c r="Q29" s="23"/>
      <c r="R29" s="23"/>
      <c r="S29" s="23"/>
      <c r="T29" s="23"/>
      <c r="U29" s="23"/>
      <c r="V29" s="23"/>
      <c r="W29" s="23"/>
      <c r="X29" s="23"/>
      <c r="Y29" s="639" t="s">
        <v>375</v>
      </c>
      <c r="Z29" s="639"/>
      <c r="AA29" s="639"/>
      <c r="AB29" s="639"/>
      <c r="AC29" s="639"/>
      <c r="AD29" s="639"/>
      <c r="AE29" s="639"/>
      <c r="AF29" s="530"/>
      <c r="AG29" s="530"/>
      <c r="AH29" s="23"/>
      <c r="AI29" s="23"/>
      <c r="AJ29" s="23"/>
      <c r="AK29" s="23"/>
      <c r="AL29" s="23"/>
      <c r="AM29" s="23"/>
      <c r="AN29" s="23"/>
      <c r="AO29" s="23"/>
      <c r="AP29" s="23"/>
      <c r="AQ29" s="23"/>
      <c r="AR29" s="23"/>
      <c r="AS29" s="23"/>
      <c r="AT29" s="23"/>
      <c r="AU29" s="23"/>
      <c r="AV29" s="23"/>
      <c r="AW29" s="23"/>
      <c r="AX29" s="23"/>
      <c r="AY29" s="23"/>
      <c r="AZ29" s="23"/>
      <c r="BA29" s="23"/>
      <c r="BB29" s="23"/>
      <c r="BC29" s="23"/>
      <c r="BD29" s="525"/>
      <c r="BE29" s="525"/>
      <c r="BF29" s="23"/>
      <c r="BG29" s="23"/>
      <c r="BH29" s="23"/>
      <c r="BI29" s="23"/>
      <c r="BJ29" s="23"/>
      <c r="BK29" s="23"/>
      <c r="BL29" s="23"/>
      <c r="BM29" s="23"/>
      <c r="BN29" s="23"/>
      <c r="BO29" s="23"/>
      <c r="BP29" s="23"/>
      <c r="BQ29" s="23"/>
      <c r="BR29" s="23"/>
      <c r="BS29" s="23"/>
      <c r="BT29" s="23"/>
      <c r="BU29" s="23"/>
      <c r="BV29" s="23"/>
      <c r="BW29" s="23"/>
      <c r="BX29" s="23"/>
      <c r="BY29" s="23"/>
      <c r="BZ29" s="23"/>
      <c r="CG29" s="573"/>
      <c r="CH29" s="573"/>
      <c r="CI29" s="573"/>
      <c r="CJ29" s="573"/>
      <c r="CK29" s="573"/>
      <c r="CL29" s="573"/>
      <c r="CM29" s="573"/>
      <c r="CN29" s="23"/>
      <c r="CO29" s="23"/>
      <c r="CP29" s="23"/>
      <c r="DT29" s="23"/>
    </row>
    <row r="30" spans="1:136" ht="69.2" customHeight="1" x14ac:dyDescent="0.2">
      <c r="A30" s="7"/>
      <c r="C30" s="7"/>
      <c r="D30" s="7"/>
      <c r="E30" s="7"/>
      <c r="F30" s="7"/>
      <c r="G30" s="7"/>
      <c r="I30" s="34"/>
      <c r="J30" s="34"/>
      <c r="K30" s="34"/>
      <c r="L30" s="34"/>
      <c r="M30" s="34"/>
      <c r="N30" s="34"/>
      <c r="O30" s="34"/>
      <c r="P30" s="34"/>
      <c r="Q30" s="34"/>
      <c r="R30" s="34"/>
      <c r="S30" s="34"/>
      <c r="T30" s="34"/>
      <c r="U30" s="34"/>
      <c r="V30" s="34"/>
      <c r="W30" s="34"/>
      <c r="X30" s="47"/>
      <c r="Y30" s="573"/>
      <c r="Z30" s="573"/>
      <c r="AA30" s="573"/>
      <c r="AB30" s="573"/>
      <c r="AC30" s="573"/>
      <c r="AD30" s="573"/>
      <c r="AE30" s="573"/>
      <c r="AF30" s="526"/>
      <c r="AG30" s="526"/>
      <c r="AH30" s="23"/>
      <c r="AI30" s="23"/>
      <c r="AJ30" s="23"/>
      <c r="AK30" s="23"/>
      <c r="AL30" s="23"/>
      <c r="AM30" s="23"/>
      <c r="AN30" s="23"/>
      <c r="AO30" s="23"/>
      <c r="AP30" s="23"/>
      <c r="AQ30" s="23"/>
      <c r="AR30" s="23"/>
      <c r="AS30" s="23"/>
      <c r="AT30" s="23"/>
      <c r="AU30" s="23"/>
      <c r="AV30" s="23"/>
      <c r="AW30" s="23"/>
      <c r="AX30" s="23"/>
      <c r="AY30" s="23"/>
      <c r="AZ30" s="23"/>
      <c r="BA30" s="23"/>
      <c r="BB30" s="23"/>
      <c r="BC30" s="23"/>
      <c r="BD30" s="525"/>
      <c r="BE30" s="525"/>
      <c r="BF30" s="23"/>
      <c r="BG30" s="23"/>
      <c r="BH30" s="23"/>
      <c r="BI30" s="23"/>
      <c r="BJ30" s="23"/>
      <c r="BK30" s="23"/>
      <c r="BL30" s="23"/>
      <c r="BM30" s="23"/>
      <c r="BN30" s="23"/>
      <c r="BO30" s="23"/>
      <c r="BP30" s="23"/>
      <c r="BQ30" s="23"/>
      <c r="BR30" s="23"/>
      <c r="BS30" s="23"/>
      <c r="BT30" s="23"/>
      <c r="BU30" s="23"/>
      <c r="BV30" s="23"/>
      <c r="BW30" s="23"/>
      <c r="BX30" s="23"/>
      <c r="BY30" s="23"/>
      <c r="BZ30" s="23"/>
      <c r="CA30" s="179"/>
      <c r="CG30" s="573"/>
      <c r="CH30" s="573"/>
      <c r="CI30" s="573"/>
      <c r="CJ30" s="573"/>
      <c r="CK30" s="573"/>
      <c r="CL30" s="573"/>
      <c r="CM30" s="573"/>
      <c r="CN30" s="23"/>
      <c r="CO30" s="23"/>
      <c r="CP30" s="23"/>
      <c r="CR30" s="7"/>
      <c r="DT30" s="47"/>
    </row>
    <row r="31" spans="1:136" ht="30" customHeight="1" x14ac:dyDescent="0.2">
      <c r="A31" s="7"/>
      <c r="C31" s="7"/>
      <c r="D31" s="7"/>
      <c r="E31" s="7"/>
      <c r="F31" s="7"/>
      <c r="G31" s="7"/>
      <c r="I31" s="34"/>
      <c r="J31" s="34"/>
      <c r="K31" s="34"/>
      <c r="L31" s="34"/>
      <c r="M31" s="34"/>
      <c r="N31" s="34"/>
      <c r="O31" s="34"/>
      <c r="P31" s="34"/>
      <c r="Q31" s="34"/>
      <c r="R31" s="34"/>
      <c r="S31" s="34"/>
      <c r="T31" s="34"/>
      <c r="U31" s="34"/>
      <c r="V31" s="34"/>
      <c r="W31" s="34"/>
      <c r="X31" s="23"/>
      <c r="Y31" s="573"/>
      <c r="Z31" s="573"/>
      <c r="AA31" s="573"/>
      <c r="AB31" s="573"/>
      <c r="AC31" s="573"/>
      <c r="AD31" s="573"/>
      <c r="AE31" s="573"/>
      <c r="AF31" s="526"/>
      <c r="AG31" s="526"/>
      <c r="AH31" s="23"/>
      <c r="AI31" s="23"/>
      <c r="AJ31" s="23"/>
      <c r="AK31" s="23"/>
      <c r="AL31" s="23"/>
      <c r="AM31" s="23"/>
      <c r="AN31" s="23"/>
      <c r="AO31" s="23"/>
      <c r="AP31" s="23"/>
      <c r="AQ31" s="23"/>
      <c r="AR31" s="23"/>
      <c r="AS31" s="23"/>
      <c r="AT31" s="23"/>
      <c r="AU31" s="23"/>
      <c r="AV31" s="23"/>
      <c r="AW31" s="23"/>
      <c r="AX31" s="23"/>
      <c r="AY31" s="23"/>
      <c r="AZ31" s="23"/>
      <c r="BA31" s="23"/>
      <c r="BB31" s="23"/>
      <c r="BC31" s="23"/>
      <c r="BD31" s="525"/>
      <c r="BE31" s="525"/>
      <c r="BF31" s="23"/>
      <c r="BG31" s="23"/>
      <c r="BH31" s="23"/>
      <c r="BI31" s="23"/>
      <c r="BJ31" s="23"/>
      <c r="BK31" s="23"/>
      <c r="BL31" s="23"/>
      <c r="BM31" s="23"/>
      <c r="BN31" s="23"/>
      <c r="BO31" s="23"/>
      <c r="BP31" s="23"/>
      <c r="BQ31" s="23"/>
      <c r="BR31" s="23"/>
      <c r="BS31" s="23"/>
      <c r="BT31" s="23"/>
      <c r="BU31" s="23"/>
      <c r="BV31" s="23"/>
      <c r="BW31" s="23"/>
      <c r="BX31" s="23"/>
      <c r="BY31" s="23"/>
      <c r="BZ31" s="23"/>
      <c r="CG31" s="573"/>
      <c r="CH31" s="573"/>
      <c r="CI31" s="573"/>
      <c r="CJ31" s="573"/>
      <c r="CK31" s="573"/>
      <c r="CL31" s="573"/>
      <c r="CM31" s="573"/>
      <c r="CN31" s="23"/>
      <c r="CO31" s="23"/>
      <c r="CP31" s="23"/>
    </row>
    <row r="32" spans="1:136" ht="50.1" customHeight="1" x14ac:dyDescent="0.2">
      <c r="A32" s="7"/>
      <c r="C32" s="7"/>
      <c r="D32" s="7"/>
      <c r="E32" s="7"/>
      <c r="F32" s="7"/>
      <c r="G32" s="7"/>
      <c r="I32" s="34"/>
      <c r="J32" s="34"/>
      <c r="K32" s="34"/>
      <c r="L32" s="34"/>
      <c r="M32" s="34"/>
      <c r="N32" s="34"/>
      <c r="O32" s="34"/>
      <c r="P32" s="34"/>
      <c r="Q32" s="34"/>
      <c r="R32" s="34"/>
      <c r="S32" s="34"/>
      <c r="T32" s="34"/>
      <c r="U32" s="34"/>
      <c r="V32" s="34"/>
      <c r="W32" s="34"/>
      <c r="X32" s="34"/>
      <c r="Y32" s="23"/>
      <c r="Z32" s="23"/>
      <c r="AA32" s="23"/>
      <c r="AB32" s="23"/>
      <c r="AC32" s="23"/>
      <c r="AD32" s="23"/>
      <c r="AE32" s="23"/>
      <c r="AF32" s="525"/>
      <c r="AG32" s="525"/>
      <c r="AH32" s="23"/>
      <c r="AI32" s="23"/>
      <c r="AJ32" s="23"/>
      <c r="AK32" s="23"/>
      <c r="AL32" s="23"/>
      <c r="AM32" s="23"/>
      <c r="AN32" s="23"/>
      <c r="AO32" s="23"/>
      <c r="AP32" s="23"/>
      <c r="AQ32" s="23"/>
      <c r="AR32" s="23"/>
      <c r="AS32" s="23"/>
      <c r="AT32" s="23"/>
      <c r="AU32" s="23"/>
      <c r="AV32" s="23"/>
      <c r="AW32" s="23"/>
      <c r="AX32" s="23"/>
      <c r="AY32" s="23"/>
      <c r="AZ32" s="23"/>
      <c r="BA32" s="23"/>
      <c r="BB32" s="23"/>
      <c r="BC32" s="23"/>
      <c r="BD32" s="525"/>
      <c r="BE32" s="525"/>
      <c r="BF32" s="23"/>
      <c r="BG32" s="23"/>
      <c r="BH32" s="23"/>
      <c r="BI32" s="23"/>
      <c r="BJ32" s="23"/>
      <c r="BK32" s="23"/>
      <c r="BL32" s="23"/>
      <c r="BM32" s="23"/>
      <c r="BN32" s="23"/>
      <c r="BO32" s="23"/>
      <c r="BP32" s="23"/>
      <c r="BQ32" s="23"/>
      <c r="BR32" s="23"/>
      <c r="BS32" s="23"/>
      <c r="BT32" s="23"/>
      <c r="BU32" s="23"/>
      <c r="BV32" s="23"/>
      <c r="BW32" s="565"/>
      <c r="BX32" s="565"/>
      <c r="BY32" s="23"/>
      <c r="BZ32" s="23"/>
      <c r="CF32" s="180"/>
      <c r="CG32" s="573"/>
      <c r="CH32" s="573"/>
      <c r="CI32" s="573"/>
      <c r="CJ32" s="573"/>
      <c r="CK32" s="573"/>
      <c r="CL32" s="573"/>
      <c r="CM32" s="573"/>
      <c r="CN32" s="23"/>
      <c r="CO32" s="23"/>
      <c r="CP32" s="23"/>
    </row>
    <row r="33" spans="1:94" ht="50.1" customHeight="1" x14ac:dyDescent="0.2">
      <c r="A33" s="7"/>
      <c r="C33" s="7"/>
      <c r="D33" s="7"/>
      <c r="E33" s="7"/>
      <c r="F33" s="7"/>
      <c r="G33" s="7"/>
      <c r="I33" s="34"/>
      <c r="J33" s="34"/>
      <c r="K33" s="34"/>
      <c r="L33" s="34"/>
      <c r="M33" s="34"/>
      <c r="N33" s="34"/>
      <c r="O33" s="34"/>
      <c r="P33" s="34"/>
      <c r="Q33" s="34"/>
      <c r="R33" s="34"/>
      <c r="S33" s="34"/>
      <c r="T33" s="34"/>
      <c r="U33" s="34"/>
      <c r="V33" s="34"/>
      <c r="W33" s="34"/>
      <c r="X33" s="23"/>
      <c r="Y33" s="23"/>
      <c r="Z33" s="23"/>
      <c r="AA33" s="23"/>
      <c r="AB33" s="23"/>
      <c r="AC33" s="23"/>
      <c r="AD33" s="23"/>
      <c r="AE33" s="23"/>
      <c r="AF33" s="525"/>
      <c r="AG33" s="525"/>
      <c r="AH33" s="23"/>
      <c r="AI33" s="23"/>
      <c r="AJ33" s="23"/>
      <c r="AK33" s="23"/>
      <c r="AL33" s="23"/>
      <c r="AM33" s="23"/>
      <c r="AN33" s="23"/>
      <c r="AO33" s="23"/>
      <c r="AP33" s="23"/>
      <c r="AQ33" s="23"/>
      <c r="AR33" s="23"/>
      <c r="AS33" s="23"/>
      <c r="AT33" s="23"/>
      <c r="AU33" s="23"/>
      <c r="AV33" s="23"/>
      <c r="AW33" s="23"/>
      <c r="AX33" s="23"/>
      <c r="AY33" s="23"/>
      <c r="AZ33" s="23"/>
      <c r="BA33" s="23"/>
      <c r="BB33" s="23"/>
      <c r="BC33" s="23"/>
      <c r="BD33" s="525"/>
      <c r="BE33" s="525"/>
      <c r="BF33" s="23"/>
      <c r="BG33" s="23"/>
      <c r="BH33" s="23"/>
      <c r="BI33" s="23"/>
      <c r="BJ33" s="23"/>
      <c r="BK33" s="23"/>
      <c r="BL33" s="23"/>
      <c r="BM33" s="23"/>
      <c r="BN33" s="23"/>
      <c r="BO33" s="23"/>
      <c r="BP33" s="23"/>
      <c r="BQ33" s="23"/>
      <c r="BR33" s="23"/>
      <c r="BS33" s="23"/>
      <c r="BT33" s="23"/>
      <c r="BU33" s="23"/>
      <c r="BV33" s="23"/>
      <c r="BW33" s="23"/>
      <c r="BX33" s="23"/>
      <c r="BY33" s="23"/>
      <c r="BZ33" s="23"/>
      <c r="CG33" s="573"/>
      <c r="CH33" s="573"/>
      <c r="CI33" s="573"/>
      <c r="CJ33" s="573"/>
      <c r="CK33" s="573"/>
      <c r="CL33" s="573"/>
      <c r="CM33" s="573"/>
      <c r="CN33" s="23"/>
      <c r="CO33" s="23"/>
      <c r="CP33" s="23"/>
    </row>
    <row r="34" spans="1:94" ht="15.75" customHeight="1" x14ac:dyDescent="0.2">
      <c r="A34" s="7"/>
      <c r="C34" s="7"/>
      <c r="D34" s="7"/>
      <c r="E34" s="7"/>
      <c r="F34" s="7"/>
      <c r="G34" s="7"/>
      <c r="I34" s="34"/>
      <c r="J34" s="34"/>
      <c r="K34" s="34"/>
      <c r="L34" s="34"/>
      <c r="M34" s="34"/>
      <c r="N34" s="34"/>
      <c r="O34" s="34"/>
      <c r="P34" s="34"/>
      <c r="Q34" s="34"/>
      <c r="R34" s="34"/>
      <c r="S34" s="34"/>
      <c r="T34" s="34"/>
      <c r="U34" s="34"/>
      <c r="V34" s="34"/>
      <c r="W34" s="34"/>
      <c r="X34" s="34"/>
      <c r="Y34" s="23"/>
      <c r="Z34" s="23"/>
      <c r="AA34" s="23"/>
      <c r="AB34" s="23"/>
      <c r="AC34" s="23"/>
      <c r="AD34" s="23"/>
      <c r="AE34" s="23"/>
      <c r="AF34" s="525"/>
      <c r="AG34" s="525"/>
      <c r="AH34" s="23"/>
      <c r="AI34" s="23"/>
      <c r="AJ34" s="23"/>
      <c r="AK34" s="23"/>
      <c r="AL34" s="23"/>
      <c r="AM34" s="23"/>
      <c r="AN34" s="23"/>
      <c r="AO34" s="23"/>
      <c r="AP34" s="23"/>
      <c r="AQ34" s="23"/>
      <c r="AR34" s="23"/>
      <c r="AS34" s="23"/>
      <c r="AT34" s="23"/>
      <c r="AU34" s="23"/>
      <c r="AV34" s="23"/>
      <c r="AW34" s="23"/>
      <c r="AX34" s="23"/>
      <c r="AY34" s="23"/>
      <c r="AZ34" s="23"/>
      <c r="BA34" s="23"/>
      <c r="BB34" s="23"/>
      <c r="BC34" s="23"/>
      <c r="BD34" s="525"/>
      <c r="BE34" s="525"/>
      <c r="BF34" s="23"/>
      <c r="BG34" s="23"/>
      <c r="BH34" s="23"/>
      <c r="BI34" s="23"/>
      <c r="BJ34" s="23"/>
      <c r="BK34" s="23"/>
      <c r="BL34" s="23"/>
      <c r="BM34" s="23"/>
      <c r="BN34" s="23"/>
      <c r="BO34" s="23"/>
      <c r="BP34" s="23"/>
      <c r="BQ34" s="23"/>
      <c r="BR34" s="23"/>
      <c r="BS34" s="23"/>
      <c r="BT34" s="23"/>
      <c r="BU34" s="23"/>
      <c r="BV34" s="23"/>
      <c r="BW34" s="23"/>
      <c r="BX34" s="23"/>
      <c r="BY34" s="23"/>
      <c r="BZ34" s="23"/>
      <c r="CG34" s="23"/>
      <c r="CH34" s="23"/>
      <c r="CI34" s="23"/>
      <c r="CJ34" s="23"/>
      <c r="CK34" s="23"/>
      <c r="CL34" s="23"/>
      <c r="CM34" s="23"/>
      <c r="CN34" s="23"/>
      <c r="CO34" s="23"/>
      <c r="CP34" s="23"/>
    </row>
    <row r="35" spans="1:94" ht="15.75" customHeight="1" x14ac:dyDescent="0.2">
      <c r="A35" s="7"/>
      <c r="C35" s="7"/>
      <c r="D35" s="7"/>
      <c r="E35" s="7"/>
      <c r="F35" s="7"/>
      <c r="G35" s="7"/>
      <c r="I35" s="34"/>
      <c r="J35" s="34"/>
      <c r="K35" s="34"/>
      <c r="L35" s="34"/>
      <c r="M35" s="34"/>
      <c r="N35" s="34"/>
      <c r="O35" s="34"/>
      <c r="P35" s="34"/>
      <c r="Q35" s="34"/>
      <c r="R35" s="34"/>
      <c r="S35" s="34"/>
      <c r="T35" s="34"/>
      <c r="U35" s="34"/>
      <c r="V35" s="34"/>
      <c r="W35" s="34"/>
      <c r="X35" s="34"/>
      <c r="Y35" s="23"/>
      <c r="Z35" s="23"/>
      <c r="AA35" s="23"/>
      <c r="AB35" s="23"/>
      <c r="AC35" s="23"/>
      <c r="AD35" s="23"/>
      <c r="AE35" s="23"/>
      <c r="AF35" s="525"/>
      <c r="AG35" s="525"/>
      <c r="AH35" s="23"/>
      <c r="AI35" s="23"/>
      <c r="AJ35" s="23"/>
      <c r="AK35" s="23"/>
      <c r="AL35" s="23"/>
      <c r="AM35" s="23"/>
      <c r="AN35" s="23"/>
      <c r="AO35" s="23"/>
      <c r="AP35" s="23"/>
      <c r="AQ35" s="23"/>
      <c r="AR35" s="23"/>
      <c r="AS35" s="23"/>
      <c r="AT35" s="23"/>
      <c r="AU35" s="23"/>
      <c r="AV35" s="23"/>
      <c r="AW35" s="23"/>
      <c r="AX35" s="23"/>
      <c r="AY35" s="23"/>
      <c r="AZ35" s="23"/>
      <c r="BA35" s="23"/>
      <c r="BB35" s="23"/>
      <c r="BC35" s="23"/>
      <c r="BD35" s="525"/>
      <c r="BE35" s="525"/>
      <c r="BF35" s="23"/>
      <c r="BG35" s="23"/>
      <c r="BH35" s="23"/>
      <c r="BI35" s="23"/>
      <c r="BJ35" s="23"/>
      <c r="BK35" s="23"/>
      <c r="BL35" s="23"/>
      <c r="BM35" s="23"/>
      <c r="BN35" s="23"/>
      <c r="BO35" s="23"/>
      <c r="BP35" s="23"/>
      <c r="BQ35" s="23"/>
      <c r="BR35" s="23"/>
      <c r="BS35" s="23"/>
      <c r="BT35" s="23"/>
      <c r="BU35" s="23"/>
      <c r="BV35" s="23"/>
      <c r="BW35" s="23"/>
      <c r="BX35" s="23"/>
      <c r="BY35" s="23"/>
      <c r="BZ35" s="23"/>
      <c r="CG35" s="23"/>
      <c r="CH35" s="23"/>
      <c r="CI35" s="23"/>
      <c r="CJ35" s="23"/>
      <c r="CK35" s="23"/>
      <c r="CL35" s="23"/>
      <c r="CM35" s="23"/>
      <c r="CN35" s="23"/>
      <c r="CO35" s="23"/>
      <c r="CP35" s="23"/>
    </row>
    <row r="36" spans="1:94" ht="15.75" customHeight="1" x14ac:dyDescent="0.2">
      <c r="A36" s="7"/>
      <c r="C36" s="7"/>
      <c r="D36" s="7"/>
      <c r="E36" s="7"/>
      <c r="F36" s="7"/>
      <c r="G36" s="7"/>
      <c r="I36" s="34"/>
      <c r="J36" s="34"/>
      <c r="K36" s="34"/>
      <c r="L36" s="34"/>
      <c r="M36" s="34"/>
      <c r="N36" s="34"/>
      <c r="O36" s="34"/>
      <c r="P36" s="34"/>
      <c r="Q36" s="34"/>
      <c r="R36" s="34"/>
      <c r="S36" s="34"/>
      <c r="T36" s="34"/>
      <c r="U36" s="34"/>
      <c r="V36" s="34"/>
      <c r="W36" s="34"/>
      <c r="X36" s="34"/>
      <c r="Y36" s="23"/>
      <c r="Z36" s="23"/>
      <c r="AA36" s="23"/>
      <c r="AB36" s="23"/>
      <c r="AC36" s="23"/>
      <c r="AD36" s="23"/>
      <c r="AE36" s="23"/>
      <c r="AF36" s="525"/>
      <c r="AG36" s="525"/>
      <c r="AH36" s="23"/>
      <c r="AI36" s="23"/>
      <c r="AJ36" s="23"/>
      <c r="AK36" s="23"/>
      <c r="AL36" s="23"/>
      <c r="AM36" s="23"/>
      <c r="AN36" s="23"/>
      <c r="AO36" s="23"/>
      <c r="AP36" s="23"/>
      <c r="AQ36" s="23"/>
      <c r="AR36" s="23"/>
      <c r="AS36" s="23"/>
      <c r="AT36" s="23"/>
      <c r="AU36" s="23"/>
      <c r="AV36" s="23"/>
      <c r="AW36" s="23"/>
      <c r="AX36" s="23"/>
      <c r="AY36" s="23"/>
      <c r="AZ36" s="23"/>
      <c r="BA36" s="23"/>
      <c r="BB36" s="23"/>
      <c r="BC36" s="23"/>
      <c r="BD36" s="525"/>
      <c r="BE36" s="525"/>
      <c r="BF36" s="23"/>
      <c r="BG36" s="23"/>
      <c r="BH36" s="23"/>
      <c r="BI36" s="23"/>
      <c r="BJ36" s="23"/>
      <c r="BK36" s="23"/>
      <c r="BL36" s="23"/>
      <c r="BM36" s="23"/>
      <c r="BN36" s="23"/>
      <c r="BO36" s="23"/>
      <c r="BP36" s="23"/>
      <c r="BQ36" s="23"/>
      <c r="BR36" s="23"/>
      <c r="BS36" s="23"/>
      <c r="BT36" s="23"/>
      <c r="BU36" s="23"/>
      <c r="BV36" s="23"/>
      <c r="BW36" s="23"/>
      <c r="BX36" s="23"/>
      <c r="BY36" s="23"/>
      <c r="BZ36" s="23"/>
      <c r="CG36" s="23"/>
      <c r="CH36" s="23"/>
      <c r="CI36" s="23"/>
      <c r="CJ36" s="23"/>
      <c r="CK36" s="23"/>
      <c r="CL36" s="23"/>
      <c r="CM36" s="23"/>
      <c r="CN36" s="23"/>
      <c r="CO36" s="23"/>
      <c r="CP36" s="23"/>
    </row>
    <row r="37" spans="1:94" ht="15.75" customHeight="1" x14ac:dyDescent="0.2">
      <c r="A37" s="7"/>
      <c r="C37" s="7"/>
      <c r="D37" s="7"/>
      <c r="E37" s="7"/>
      <c r="F37" s="7"/>
      <c r="G37" s="7"/>
      <c r="I37" s="34"/>
      <c r="J37" s="34"/>
      <c r="K37" s="34"/>
      <c r="L37" s="34"/>
      <c r="M37" s="34"/>
      <c r="N37" s="34"/>
      <c r="O37" s="34"/>
      <c r="P37" s="34"/>
      <c r="Q37" s="34"/>
      <c r="R37" s="34"/>
      <c r="S37" s="34"/>
      <c r="T37" s="34"/>
      <c r="U37" s="34"/>
      <c r="V37" s="34"/>
      <c r="W37" s="34"/>
      <c r="X37" s="34"/>
      <c r="Y37" s="23"/>
      <c r="Z37" s="23"/>
      <c r="AA37" s="23"/>
      <c r="AB37" s="23"/>
      <c r="AC37" s="23"/>
      <c r="AD37" s="23"/>
      <c r="AE37" s="23"/>
      <c r="AF37" s="525"/>
      <c r="AG37" s="525"/>
      <c r="AH37" s="23"/>
      <c r="AI37" s="23"/>
      <c r="AJ37" s="23"/>
      <c r="AK37" s="23"/>
      <c r="AL37" s="23"/>
      <c r="AM37" s="23"/>
      <c r="AN37" s="23"/>
      <c r="AO37" s="23"/>
      <c r="AP37" s="23"/>
      <c r="AQ37" s="23"/>
      <c r="AR37" s="23"/>
      <c r="AS37" s="23"/>
      <c r="AT37" s="23"/>
      <c r="AU37" s="23"/>
      <c r="AV37" s="23"/>
      <c r="AW37" s="23"/>
      <c r="AX37" s="23"/>
      <c r="AY37" s="23"/>
      <c r="AZ37" s="23"/>
      <c r="BA37" s="23"/>
      <c r="BB37" s="23"/>
      <c r="BC37" s="23"/>
      <c r="BD37" s="525"/>
      <c r="BE37" s="525"/>
      <c r="BF37" s="23"/>
      <c r="BG37" s="23"/>
      <c r="BH37" s="23"/>
      <c r="BI37" s="23"/>
      <c r="BJ37" s="23"/>
      <c r="BK37" s="23"/>
      <c r="BL37" s="23"/>
      <c r="BM37" s="23"/>
      <c r="BN37" s="23"/>
      <c r="BO37" s="23"/>
      <c r="BP37" s="23"/>
      <c r="BQ37" s="23"/>
      <c r="BR37" s="23"/>
      <c r="BS37" s="23"/>
      <c r="BT37" s="23"/>
      <c r="BU37" s="23"/>
      <c r="BV37" s="23"/>
      <c r="BW37" s="23"/>
      <c r="BX37" s="23"/>
      <c r="BY37" s="23"/>
      <c r="BZ37" s="23"/>
      <c r="CG37" s="23"/>
      <c r="CH37" s="23"/>
      <c r="CI37" s="23"/>
      <c r="CJ37" s="23"/>
      <c r="CK37" s="23"/>
      <c r="CL37" s="23"/>
      <c r="CM37" s="23"/>
      <c r="CN37" s="23"/>
      <c r="CO37" s="23"/>
      <c r="CP37" s="23"/>
    </row>
    <row r="38" spans="1:94" ht="15.75" customHeight="1" x14ac:dyDescent="0.2">
      <c r="B38" s="7"/>
      <c r="C38" s="7"/>
      <c r="D38" s="7"/>
      <c r="G38" s="23"/>
      <c r="H38" s="23"/>
      <c r="I38" s="23"/>
      <c r="J38" s="23"/>
      <c r="K38" s="23"/>
      <c r="L38" s="23"/>
      <c r="M38" s="23"/>
      <c r="N38" s="23"/>
      <c r="O38" s="23"/>
      <c r="P38" s="23"/>
      <c r="Q38" s="23"/>
      <c r="R38" s="23"/>
      <c r="S38" s="23"/>
      <c r="T38" s="23"/>
      <c r="U38" s="23"/>
      <c r="V38" s="23"/>
      <c r="W38" s="23"/>
      <c r="X38" s="34"/>
      <c r="Y38" s="23"/>
      <c r="Z38" s="23"/>
      <c r="AA38" s="23"/>
      <c r="AB38" s="23"/>
      <c r="AC38" s="23"/>
      <c r="AD38" s="23"/>
      <c r="AE38" s="23"/>
      <c r="AF38" s="525"/>
      <c r="AG38" s="525"/>
      <c r="AH38" s="23"/>
      <c r="AI38" s="23"/>
      <c r="AJ38" s="23"/>
      <c r="AK38" s="23"/>
      <c r="AL38" s="23"/>
      <c r="AM38" s="23"/>
      <c r="AN38" s="23"/>
      <c r="AO38" s="23"/>
      <c r="AP38" s="23"/>
      <c r="AQ38" s="23"/>
      <c r="AR38" s="23"/>
      <c r="AS38" s="23"/>
      <c r="AT38" s="23"/>
      <c r="AU38" s="23"/>
      <c r="AV38" s="23"/>
      <c r="AW38" s="23"/>
      <c r="AX38" s="23"/>
      <c r="AY38" s="23"/>
      <c r="AZ38" s="23"/>
      <c r="BA38" s="23"/>
      <c r="BB38" s="23"/>
      <c r="BC38" s="23"/>
      <c r="BD38" s="525"/>
      <c r="BE38" s="525"/>
      <c r="BF38" s="23"/>
      <c r="BG38" s="23"/>
      <c r="BH38" s="23"/>
      <c r="BI38" s="23"/>
      <c r="BJ38" s="23"/>
      <c r="BK38" s="23"/>
      <c r="BL38" s="23"/>
      <c r="BM38" s="23"/>
      <c r="BN38" s="23"/>
      <c r="BO38" s="23"/>
      <c r="BP38" s="23"/>
      <c r="BQ38" s="23"/>
      <c r="BR38" s="23"/>
      <c r="BS38" s="23"/>
      <c r="BT38" s="23"/>
      <c r="BU38" s="23"/>
      <c r="BV38" s="23"/>
      <c r="BW38" s="23"/>
      <c r="BX38" s="23"/>
      <c r="BY38" s="23"/>
      <c r="BZ38" s="23"/>
      <c r="CG38" s="23"/>
      <c r="CH38" s="23"/>
      <c r="CI38" s="23"/>
      <c r="CJ38" s="23"/>
      <c r="CK38" s="23"/>
      <c r="CL38" s="23"/>
      <c r="CM38" s="23"/>
      <c r="CN38" s="23"/>
      <c r="CO38" s="23"/>
      <c r="CP38" s="23"/>
    </row>
    <row r="39" spans="1:94" ht="15.75" customHeight="1" x14ac:dyDescent="0.2">
      <c r="B39" s="7"/>
      <c r="C39" s="7"/>
      <c r="D39" s="7"/>
      <c r="G39" s="23"/>
      <c r="H39" s="23"/>
      <c r="I39" s="23"/>
      <c r="J39" s="23"/>
      <c r="K39" s="23"/>
      <c r="L39" s="23"/>
      <c r="M39" s="23"/>
      <c r="N39" s="23"/>
      <c r="O39" s="23"/>
      <c r="P39" s="23"/>
      <c r="Q39" s="23"/>
      <c r="R39" s="23"/>
      <c r="S39" s="23"/>
      <c r="T39" s="23"/>
      <c r="U39" s="23"/>
      <c r="V39" s="23"/>
      <c r="W39" s="23"/>
      <c r="X39" s="34"/>
      <c r="Y39" s="23"/>
      <c r="Z39" s="23"/>
      <c r="AA39" s="23"/>
      <c r="AB39" s="23"/>
      <c r="AC39" s="23"/>
      <c r="AD39" s="23"/>
      <c r="AE39" s="23"/>
      <c r="AF39" s="525"/>
      <c r="AG39" s="525"/>
      <c r="AH39" s="23"/>
      <c r="AI39" s="23"/>
      <c r="AJ39" s="23"/>
      <c r="AK39" s="23"/>
      <c r="AL39" s="23"/>
      <c r="AM39" s="23"/>
      <c r="AN39" s="23"/>
      <c r="AO39" s="23"/>
      <c r="AP39" s="23"/>
      <c r="AQ39" s="23"/>
      <c r="AR39" s="23"/>
      <c r="AS39" s="23"/>
      <c r="AT39" s="23"/>
      <c r="AU39" s="23"/>
      <c r="AV39" s="23"/>
      <c r="AW39" s="23"/>
      <c r="AX39" s="23"/>
      <c r="AY39" s="23"/>
      <c r="AZ39" s="23"/>
      <c r="BA39" s="23"/>
      <c r="BB39" s="23"/>
      <c r="BC39" s="23"/>
      <c r="BD39" s="525"/>
      <c r="BE39" s="525"/>
      <c r="BF39" s="23"/>
      <c r="BG39" s="23"/>
      <c r="BH39" s="23"/>
      <c r="BI39" s="23"/>
      <c r="BJ39" s="23"/>
      <c r="BK39" s="23"/>
      <c r="BL39" s="23"/>
      <c r="BM39" s="23"/>
      <c r="BN39" s="23"/>
      <c r="BO39" s="23"/>
      <c r="BP39" s="23"/>
      <c r="BQ39" s="23"/>
      <c r="BR39" s="23"/>
      <c r="BS39" s="23"/>
      <c r="BT39" s="23"/>
      <c r="BU39" s="23"/>
      <c r="BV39" s="23"/>
      <c r="BW39" s="23"/>
      <c r="BX39" s="23"/>
      <c r="BY39" s="23"/>
      <c r="BZ39" s="23"/>
      <c r="CG39" s="23"/>
      <c r="CH39" s="23"/>
      <c r="CI39" s="23"/>
      <c r="CJ39" s="23"/>
      <c r="CK39" s="23"/>
      <c r="CL39" s="23"/>
      <c r="CM39" s="23"/>
      <c r="CN39" s="23"/>
      <c r="CO39" s="23"/>
      <c r="CP39" s="23"/>
    </row>
    <row r="40" spans="1:94" ht="15.75" customHeight="1" x14ac:dyDescent="0.2">
      <c r="A40" s="7"/>
      <c r="B40" s="7"/>
      <c r="C40" s="7"/>
      <c r="D40" s="7"/>
      <c r="E40" s="7"/>
      <c r="F40" s="7"/>
      <c r="G40" s="23"/>
      <c r="H40" s="23"/>
      <c r="I40" s="23"/>
      <c r="J40" s="23"/>
      <c r="K40" s="23"/>
      <c r="L40" s="23"/>
      <c r="M40" s="23"/>
      <c r="N40" s="23"/>
      <c r="O40" s="23"/>
      <c r="P40" s="23"/>
      <c r="Q40" s="23"/>
      <c r="R40" s="23"/>
      <c r="S40" s="23"/>
      <c r="T40" s="23"/>
      <c r="U40" s="23"/>
      <c r="V40" s="23"/>
      <c r="W40" s="23"/>
      <c r="X40" s="34"/>
      <c r="Y40" s="23"/>
      <c r="Z40" s="23"/>
      <c r="AA40" s="23"/>
      <c r="AB40" s="23"/>
      <c r="AC40" s="23"/>
      <c r="AD40" s="23"/>
      <c r="AE40" s="23"/>
      <c r="AF40" s="525"/>
      <c r="AG40" s="525"/>
      <c r="AH40" s="23"/>
      <c r="AI40" s="23"/>
      <c r="AJ40" s="23"/>
      <c r="AK40" s="23"/>
      <c r="AL40" s="23"/>
      <c r="AM40" s="23"/>
      <c r="AN40" s="23"/>
      <c r="AO40" s="23"/>
      <c r="AP40" s="23"/>
      <c r="AQ40" s="23"/>
      <c r="AR40" s="23"/>
      <c r="AS40" s="23"/>
      <c r="AT40" s="23"/>
      <c r="AU40" s="23"/>
      <c r="AV40" s="23"/>
      <c r="AW40" s="23"/>
      <c r="AX40" s="23"/>
      <c r="AY40" s="23"/>
      <c r="AZ40" s="23"/>
      <c r="BA40" s="23"/>
      <c r="BB40" s="23"/>
      <c r="BC40" s="23"/>
      <c r="BD40" s="525"/>
      <c r="BE40" s="525"/>
      <c r="BF40" s="23"/>
      <c r="BG40" s="23"/>
      <c r="BH40" s="23"/>
      <c r="BI40" s="23"/>
      <c r="BJ40" s="23"/>
      <c r="BK40" s="23"/>
      <c r="BL40" s="23"/>
      <c r="BM40" s="23"/>
      <c r="BN40" s="23"/>
      <c r="BO40" s="23"/>
      <c r="BP40" s="23"/>
      <c r="BQ40" s="23"/>
      <c r="BR40" s="23"/>
      <c r="BS40" s="23"/>
      <c r="BT40" s="23"/>
      <c r="BU40" s="23"/>
      <c r="BV40" s="23"/>
      <c r="BW40" s="23"/>
      <c r="BX40" s="23"/>
      <c r="BY40" s="23"/>
      <c r="BZ40" s="23"/>
      <c r="CG40" s="23"/>
      <c r="CH40" s="23"/>
      <c r="CI40" s="23"/>
      <c r="CJ40" s="23"/>
      <c r="CK40" s="23"/>
      <c r="CL40" s="23"/>
      <c r="CM40" s="23"/>
      <c r="CN40" s="23"/>
      <c r="CO40" s="23"/>
      <c r="CP40" s="23"/>
    </row>
    <row r="41" spans="1:94" ht="15" customHeight="1" x14ac:dyDescent="0.2">
      <c r="X41" s="34"/>
      <c r="Y41" s="23"/>
      <c r="Z41" s="23"/>
      <c r="AA41" s="23"/>
      <c r="AB41" s="23"/>
      <c r="AC41" s="23"/>
      <c r="AD41" s="23"/>
      <c r="AE41" s="23"/>
      <c r="AF41" s="525"/>
      <c r="AG41" s="525"/>
      <c r="AH41" s="23"/>
      <c r="AI41" s="23"/>
      <c r="AV41" s="23"/>
      <c r="AW41" s="23"/>
      <c r="AX41" s="23"/>
      <c r="AY41" s="23"/>
      <c r="AZ41" s="23"/>
      <c r="BA41" s="23"/>
      <c r="BB41" s="23"/>
      <c r="BC41" s="23"/>
      <c r="BD41" s="525"/>
      <c r="BE41" s="525"/>
      <c r="BF41" s="23"/>
      <c r="BX41" s="23"/>
    </row>
    <row r="42" spans="1:94" ht="15" customHeight="1" x14ac:dyDescent="0.2">
      <c r="X42" s="23"/>
      <c r="Y42" s="23"/>
      <c r="Z42" s="23"/>
      <c r="AA42" s="23"/>
      <c r="AB42" s="23"/>
      <c r="AC42" s="23"/>
      <c r="AD42" s="23"/>
      <c r="AE42" s="23"/>
      <c r="AF42" s="525"/>
      <c r="AG42" s="525"/>
      <c r="AH42" s="23"/>
      <c r="AI42" s="23"/>
      <c r="AV42" s="23"/>
      <c r="AW42" s="23"/>
      <c r="AX42" s="23"/>
      <c r="AY42" s="23"/>
      <c r="AZ42" s="23"/>
      <c r="BA42" s="23"/>
      <c r="BB42" s="23"/>
      <c r="BC42" s="23"/>
      <c r="BD42" s="525"/>
      <c r="BE42" s="525"/>
      <c r="BF42" s="23"/>
      <c r="BX42" s="23"/>
      <c r="BZ42" s="7"/>
    </row>
    <row r="43" spans="1:94" ht="15" customHeight="1" x14ac:dyDescent="0.2">
      <c r="X43" s="23"/>
      <c r="AH43" s="23"/>
      <c r="AI43" s="23"/>
      <c r="AV43" s="23"/>
      <c r="AW43" s="23"/>
      <c r="AX43" s="23"/>
      <c r="AY43" s="23"/>
      <c r="AZ43" s="23"/>
      <c r="BA43" s="23"/>
      <c r="BB43" s="23"/>
      <c r="BC43" s="23"/>
      <c r="BD43" s="525"/>
      <c r="BE43" s="525"/>
      <c r="BF43" s="23"/>
      <c r="BX43" s="23"/>
    </row>
    <row r="44" spans="1:94" ht="15" customHeight="1" x14ac:dyDescent="0.2">
      <c r="X44" s="23"/>
      <c r="AH44" s="23"/>
      <c r="AI44" s="23"/>
      <c r="AV44" s="23"/>
      <c r="AW44" s="23"/>
      <c r="AX44" s="23"/>
      <c r="AY44" s="23"/>
      <c r="AZ44" s="23"/>
      <c r="BA44" s="23"/>
      <c r="BB44" s="23"/>
      <c r="BC44" s="23"/>
      <c r="BD44" s="525"/>
      <c r="BE44" s="525"/>
      <c r="BF44" s="23"/>
      <c r="BX44" s="23"/>
    </row>
    <row r="45" spans="1:94" ht="15" customHeight="1" x14ac:dyDescent="0.2">
      <c r="AW45" s="23"/>
      <c r="AX45" s="23"/>
      <c r="AY45" s="23"/>
      <c r="AZ45" s="23"/>
      <c r="BA45" s="23"/>
      <c r="BB45" s="23"/>
      <c r="BX45" s="23"/>
    </row>
    <row r="46" spans="1:94" ht="15" customHeight="1" x14ac:dyDescent="0.2">
      <c r="BX46" s="23"/>
    </row>
    <row r="47" spans="1:94" ht="15" customHeight="1" x14ac:dyDescent="0.2">
      <c r="BX47" s="23"/>
    </row>
    <row r="48" spans="1:94" ht="15" customHeight="1" x14ac:dyDescent="0.2">
      <c r="BX48" s="23"/>
    </row>
    <row r="49" spans="76:76" ht="15" customHeight="1" x14ac:dyDescent="0.2">
      <c r="BX49" s="23"/>
    </row>
    <row r="50" spans="76:76" ht="15" customHeight="1" x14ac:dyDescent="0.2">
      <c r="BX50" s="23"/>
    </row>
    <row r="51" spans="76:76" ht="15" customHeight="1" x14ac:dyDescent="0.2">
      <c r="BX51" s="23"/>
    </row>
    <row r="52" spans="76:76" ht="15" customHeight="1" x14ac:dyDescent="0.2">
      <c r="BX52" s="23"/>
    </row>
    <row r="53" spans="76:76" ht="15" customHeight="1" x14ac:dyDescent="0.2">
      <c r="BX53" s="23"/>
    </row>
    <row r="54" spans="76:76" ht="15" customHeight="1" x14ac:dyDescent="0.2">
      <c r="BX54" s="23"/>
    </row>
    <row r="55" spans="76:76" ht="15" customHeight="1" x14ac:dyDescent="0.2">
      <c r="BX55" s="23"/>
    </row>
    <row r="56" spans="76:76" ht="15" customHeight="1" x14ac:dyDescent="0.2">
      <c r="BX56" s="23"/>
    </row>
    <row r="57" spans="76:76" ht="15" customHeight="1" x14ac:dyDescent="0.2">
      <c r="BX57" s="23"/>
    </row>
    <row r="58" spans="76:76" ht="15" customHeight="1" x14ac:dyDescent="0.2">
      <c r="BX58" s="23"/>
    </row>
    <row r="59" spans="76:76" ht="15" customHeight="1" x14ac:dyDescent="0.2">
      <c r="BX59" s="23"/>
    </row>
    <row r="60" spans="76:76" ht="15" customHeight="1" x14ac:dyDescent="0.2">
      <c r="BX60" s="23"/>
    </row>
    <row r="61" spans="76:76" ht="15" customHeight="1" x14ac:dyDescent="0.2">
      <c r="BX61" s="23"/>
    </row>
    <row r="62" spans="76:76" ht="15" customHeight="1" x14ac:dyDescent="0.2"/>
    <row r="63" spans="76:76" ht="15" customHeight="1" x14ac:dyDescent="0.2"/>
    <row r="64" spans="76:7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sheetData>
  <sheetProtection algorithmName="SHA-512" hashValue="b/SuA1WhR0ceZ5tKugoGiTQQwxmQp0ZX05h/UlUNUQu6jJJCxq2XYjdcSPphAPLuz3OWBhmbug4Kiv6q1MxY1w==" saltValue="2Xu7BEq32jKx98OXzOE0zQ==" spinCount="100000" sheet="1" objects="1" scenarios="1"/>
  <mergeCells count="67">
    <mergeCell ref="EC21:EE24"/>
    <mergeCell ref="DV18:EA21"/>
    <mergeCell ref="DJ26:DS26"/>
    <mergeCell ref="DV12:DV14"/>
    <mergeCell ref="DV5:DV6"/>
    <mergeCell ref="DV7:DV11"/>
    <mergeCell ref="DV15:DV16"/>
    <mergeCell ref="DB7:DH10"/>
    <mergeCell ref="DJ5:DJ7"/>
    <mergeCell ref="DJ8:DJ15"/>
    <mergeCell ref="DJ16:DJ21"/>
    <mergeCell ref="DJ22:DJ24"/>
    <mergeCell ref="CB8:CB15"/>
    <mergeCell ref="CB5:CB7"/>
    <mergeCell ref="CG5:CM5"/>
    <mergeCell ref="CO5:CO7"/>
    <mergeCell ref="CO8:CO15"/>
    <mergeCell ref="CO16:CO21"/>
    <mergeCell ref="CO22:CO24"/>
    <mergeCell ref="CG24:CM33"/>
    <mergeCell ref="BW32:BX32"/>
    <mergeCell ref="BG26:BZ28"/>
    <mergeCell ref="CB22:CB24"/>
    <mergeCell ref="CB16:CB21"/>
    <mergeCell ref="BG16:BG21"/>
    <mergeCell ref="BG22:BG24"/>
    <mergeCell ref="AJ16:AJ21"/>
    <mergeCell ref="AJ22:AJ24"/>
    <mergeCell ref="AJ26:AU28"/>
    <mergeCell ref="AJ5:AJ7"/>
    <mergeCell ref="AJ8:AJ15"/>
    <mergeCell ref="BG5:BG7"/>
    <mergeCell ref="BG8:BG15"/>
    <mergeCell ref="AW13:BB15"/>
    <mergeCell ref="Y4:Z4"/>
    <mergeCell ref="Y6:Z6"/>
    <mergeCell ref="Y7:Z7"/>
    <mergeCell ref="Y9:Z9"/>
    <mergeCell ref="Y8:Z8"/>
    <mergeCell ref="Y5:AE5"/>
    <mergeCell ref="BD7:BE12"/>
    <mergeCell ref="Y19:Z19"/>
    <mergeCell ref="Y18:Z18"/>
    <mergeCell ref="Y15:AE15"/>
    <mergeCell ref="Y11:Z11"/>
    <mergeCell ref="Y10:Z10"/>
    <mergeCell ref="Y12:Z12"/>
    <mergeCell ref="Y13:Z13"/>
    <mergeCell ref="Y14:Z14"/>
    <mergeCell ref="Y17:Z17"/>
    <mergeCell ref="Y16:Z16"/>
    <mergeCell ref="Y29:AE31"/>
    <mergeCell ref="Y22:AE22"/>
    <mergeCell ref="Y24:Z24"/>
    <mergeCell ref="Y21:Z21"/>
    <mergeCell ref="Y20:Z20"/>
    <mergeCell ref="A26:W27"/>
    <mergeCell ref="Y23:Z23"/>
    <mergeCell ref="Y26:Z26"/>
    <mergeCell ref="Y25:Z25"/>
    <mergeCell ref="Y28:Z28"/>
    <mergeCell ref="Y27:Z27"/>
    <mergeCell ref="A1:C1"/>
    <mergeCell ref="A5:A7"/>
    <mergeCell ref="A8:A15"/>
    <mergeCell ref="A16:A21"/>
    <mergeCell ref="A22:A24"/>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3"/>
  <sheetViews>
    <sheetView showGridLines="0" showRuler="0" zoomScaleNormal="100" workbookViewId="0">
      <selection activeCell="D5" sqref="D5:D6"/>
    </sheetView>
  </sheetViews>
  <sheetFormatPr defaultColWidth="13.140625" defaultRowHeight="12.75" x14ac:dyDescent="0.2"/>
  <cols>
    <col min="1" max="1" width="43.42578125" customWidth="1"/>
    <col min="2" max="9" width="20.85546875" customWidth="1"/>
    <col min="10" max="10" width="8.7109375" customWidth="1"/>
    <col min="11" max="11" width="52.85546875" customWidth="1"/>
    <col min="12" max="12" width="0" hidden="1"/>
    <col min="18" max="18" width="7.5703125" customWidth="1"/>
    <col min="19" max="21" width="22.42578125" customWidth="1"/>
  </cols>
  <sheetData>
    <row r="1" spans="1:22" ht="17.45" customHeight="1" x14ac:dyDescent="0.25">
      <c r="A1" s="624" t="s">
        <v>376</v>
      </c>
      <c r="B1" s="624"/>
      <c r="C1" s="624"/>
      <c r="D1" s="196"/>
      <c r="E1" s="196"/>
      <c r="F1" s="23"/>
      <c r="G1" s="23"/>
      <c r="H1" s="23"/>
      <c r="I1" s="23"/>
      <c r="J1" s="23"/>
    </row>
    <row r="2" spans="1:22" x14ac:dyDescent="0.2">
      <c r="A2" s="2"/>
      <c r="B2" s="24"/>
      <c r="C2" s="24"/>
      <c r="D2" s="24"/>
      <c r="E2" s="24"/>
      <c r="F2" s="24"/>
      <c r="G2" s="24"/>
      <c r="H2" s="24"/>
      <c r="I2" s="24"/>
      <c r="J2" s="23"/>
    </row>
    <row r="3" spans="1:22" ht="85.5" customHeight="1" x14ac:dyDescent="0.2">
      <c r="A3" s="449" t="s">
        <v>1158</v>
      </c>
      <c r="B3" s="4" t="s">
        <v>142</v>
      </c>
      <c r="C3" s="4" t="s">
        <v>377</v>
      </c>
      <c r="D3" s="4" t="s">
        <v>378</v>
      </c>
      <c r="E3" s="4" t="s">
        <v>379</v>
      </c>
      <c r="F3" s="4" t="s">
        <v>380</v>
      </c>
      <c r="G3" s="4" t="s">
        <v>381</v>
      </c>
      <c r="H3" s="4" t="s">
        <v>382</v>
      </c>
      <c r="I3" s="4" t="s">
        <v>383</v>
      </c>
      <c r="J3" s="11"/>
      <c r="K3" s="39" t="s">
        <v>384</v>
      </c>
      <c r="L3" s="37">
        <v>2015</v>
      </c>
      <c r="M3" s="37">
        <v>2016</v>
      </c>
      <c r="N3" s="37">
        <v>2017</v>
      </c>
      <c r="O3" s="37">
        <v>2018</v>
      </c>
      <c r="P3" s="37">
        <v>2019</v>
      </c>
      <c r="Q3" s="37">
        <v>2020</v>
      </c>
      <c r="R3" s="55"/>
      <c r="S3" s="449" t="s">
        <v>1159</v>
      </c>
      <c r="T3" s="4" t="s">
        <v>385</v>
      </c>
      <c r="U3" s="4" t="s">
        <v>386</v>
      </c>
      <c r="V3" s="26"/>
    </row>
    <row r="4" spans="1:22" ht="36" customHeight="1" x14ac:dyDescent="0.2">
      <c r="A4" s="623" t="s">
        <v>154</v>
      </c>
      <c r="B4" s="92" t="s">
        <v>72</v>
      </c>
      <c r="C4" s="188">
        <f t="shared" ref="C4:I4" si="0">SUM(C5:C6)</f>
        <v>3496.7</v>
      </c>
      <c r="D4" s="188">
        <f t="shared" si="0"/>
        <v>0</v>
      </c>
      <c r="E4" s="188">
        <f t="shared" si="0"/>
        <v>3496.7</v>
      </c>
      <c r="F4" s="188">
        <f t="shared" si="0"/>
        <v>135.13000000000011</v>
      </c>
      <c r="G4" s="188">
        <f t="shared" si="0"/>
        <v>0</v>
      </c>
      <c r="H4" s="188">
        <f t="shared" si="0"/>
        <v>13.92</v>
      </c>
      <c r="I4" s="188">
        <f t="shared" si="0"/>
        <v>3617.9100000000003</v>
      </c>
      <c r="J4" s="11"/>
      <c r="K4" s="4" t="s">
        <v>387</v>
      </c>
      <c r="L4" s="189">
        <v>31.93</v>
      </c>
      <c r="M4" s="189">
        <v>31.64</v>
      </c>
      <c r="N4" s="189">
        <v>33.119999999999997</v>
      </c>
      <c r="O4" s="189">
        <v>34.18</v>
      </c>
      <c r="P4" s="190">
        <v>27.09</v>
      </c>
      <c r="Q4" s="191">
        <v>20624.009999999998</v>
      </c>
      <c r="R4" s="55"/>
      <c r="S4" s="625" t="s">
        <v>154</v>
      </c>
      <c r="T4" s="92" t="s">
        <v>72</v>
      </c>
      <c r="U4" s="192">
        <f>SUM(U5:U6)</f>
        <v>61807</v>
      </c>
      <c r="V4" s="26"/>
    </row>
    <row r="5" spans="1:22" ht="21.6" customHeight="1" x14ac:dyDescent="0.2">
      <c r="A5" s="623"/>
      <c r="B5" s="97" t="s">
        <v>41</v>
      </c>
      <c r="C5" s="193">
        <v>2394.6999999999998</v>
      </c>
      <c r="D5" s="193">
        <v>0</v>
      </c>
      <c r="E5" s="193">
        <v>2394.6999999999998</v>
      </c>
      <c r="F5" s="193">
        <v>89.73</v>
      </c>
      <c r="G5" s="193">
        <v>0</v>
      </c>
      <c r="H5" s="193">
        <v>12.92</v>
      </c>
      <c r="I5" s="193">
        <v>2471.5100000000002</v>
      </c>
      <c r="J5" s="57"/>
      <c r="K5" s="563" t="s">
        <v>388</v>
      </c>
      <c r="L5" s="563"/>
      <c r="M5" s="563"/>
      <c r="N5" s="563"/>
      <c r="O5" s="563"/>
      <c r="P5" s="563"/>
      <c r="Q5" s="563"/>
      <c r="S5" s="626"/>
      <c r="T5" s="118" t="s">
        <v>41</v>
      </c>
      <c r="U5" s="194">
        <v>55532</v>
      </c>
      <c r="V5" s="26"/>
    </row>
    <row r="6" spans="1:22" ht="21.6" customHeight="1" x14ac:dyDescent="0.2">
      <c r="A6" s="623"/>
      <c r="B6" s="97" t="s">
        <v>158</v>
      </c>
      <c r="C6" s="193">
        <v>1102</v>
      </c>
      <c r="D6" s="193">
        <v>0</v>
      </c>
      <c r="E6" s="193">
        <v>1102</v>
      </c>
      <c r="F6" s="193">
        <v>45.400000000000098</v>
      </c>
      <c r="G6" s="193">
        <v>0</v>
      </c>
      <c r="H6" s="193">
        <v>1</v>
      </c>
      <c r="I6" s="193">
        <v>1146.4000000000001</v>
      </c>
      <c r="J6" s="57"/>
      <c r="K6" s="564"/>
      <c r="L6" s="564"/>
      <c r="M6" s="564"/>
      <c r="N6" s="564"/>
      <c r="O6" s="564"/>
      <c r="P6" s="564"/>
      <c r="Q6" s="564"/>
      <c r="S6" s="622"/>
      <c r="T6" s="118" t="s">
        <v>158</v>
      </c>
      <c r="U6" s="194">
        <v>6275</v>
      </c>
      <c r="V6" s="26"/>
    </row>
    <row r="7" spans="1:22" ht="21.6" customHeight="1" x14ac:dyDescent="0.2">
      <c r="A7" s="623" t="s">
        <v>160</v>
      </c>
      <c r="B7" s="92" t="s">
        <v>79</v>
      </c>
      <c r="C7" s="188">
        <f t="shared" ref="C7:I7" si="1">C8</f>
        <v>1264.9000000000001</v>
      </c>
      <c r="D7" s="188">
        <f t="shared" si="1"/>
        <v>18.440000000000001</v>
      </c>
      <c r="E7" s="188">
        <f t="shared" si="1"/>
        <v>1283.3399999999999</v>
      </c>
      <c r="F7" s="188">
        <f t="shared" si="1"/>
        <v>23.55</v>
      </c>
      <c r="G7" s="188">
        <f t="shared" si="1"/>
        <v>0</v>
      </c>
      <c r="H7" s="188">
        <f t="shared" si="1"/>
        <v>14.2</v>
      </c>
      <c r="I7" s="188">
        <f t="shared" si="1"/>
        <v>1292.69</v>
      </c>
      <c r="J7" s="57"/>
      <c r="S7" s="625" t="s">
        <v>160</v>
      </c>
      <c r="T7" s="92" t="s">
        <v>79</v>
      </c>
      <c r="U7" s="192">
        <f>U8</f>
        <v>2431</v>
      </c>
      <c r="V7" s="26"/>
    </row>
    <row r="8" spans="1:22" ht="21.6" customHeight="1" x14ac:dyDescent="0.2">
      <c r="A8" s="623"/>
      <c r="B8" s="97" t="s">
        <v>19</v>
      </c>
      <c r="C8" s="193">
        <v>1264.9000000000001</v>
      </c>
      <c r="D8" s="193">
        <v>18.440000000000001</v>
      </c>
      <c r="E8" s="193">
        <v>1283.3399999999999</v>
      </c>
      <c r="F8" s="193">
        <v>23.55</v>
      </c>
      <c r="G8" s="193">
        <v>0</v>
      </c>
      <c r="H8" s="193">
        <v>14.2</v>
      </c>
      <c r="I8" s="193">
        <v>1292.69</v>
      </c>
      <c r="J8" s="57"/>
      <c r="S8" s="626"/>
      <c r="T8" s="118" t="s">
        <v>19</v>
      </c>
      <c r="U8" s="194">
        <v>2431</v>
      </c>
      <c r="V8" s="26"/>
    </row>
    <row r="9" spans="1:22" ht="21.6" customHeight="1" x14ac:dyDescent="0.2">
      <c r="A9" s="623"/>
      <c r="B9" s="92" t="s">
        <v>82</v>
      </c>
      <c r="C9" s="188">
        <f t="shared" ref="C9:I9" si="2">SUM(C10:C12)</f>
        <v>3249.5</v>
      </c>
      <c r="D9" s="188">
        <f t="shared" si="2"/>
        <v>66.2</v>
      </c>
      <c r="E9" s="188">
        <f t="shared" si="2"/>
        <v>3315.7</v>
      </c>
      <c r="F9" s="188">
        <f t="shared" si="2"/>
        <v>5.4</v>
      </c>
      <c r="G9" s="188">
        <f t="shared" si="2"/>
        <v>0</v>
      </c>
      <c r="H9" s="188">
        <f t="shared" si="2"/>
        <v>8</v>
      </c>
      <c r="I9" s="188">
        <f t="shared" si="2"/>
        <v>3313.1</v>
      </c>
      <c r="J9" s="57"/>
      <c r="S9" s="626"/>
      <c r="T9" s="92" t="s">
        <v>82</v>
      </c>
      <c r="U9" s="192">
        <f>SUM(U10:U12)</f>
        <v>72451.12</v>
      </c>
      <c r="V9" s="26"/>
    </row>
    <row r="10" spans="1:22" ht="21.6" customHeight="1" x14ac:dyDescent="0.2">
      <c r="A10" s="623"/>
      <c r="B10" s="97" t="s">
        <v>163</v>
      </c>
      <c r="C10" s="193">
        <v>379.4</v>
      </c>
      <c r="D10" s="193">
        <v>66.2</v>
      </c>
      <c r="E10" s="193">
        <v>445.6</v>
      </c>
      <c r="F10" s="193">
        <v>5.4</v>
      </c>
      <c r="G10" s="193">
        <v>0</v>
      </c>
      <c r="H10" s="193">
        <v>0</v>
      </c>
      <c r="I10" s="193">
        <v>451</v>
      </c>
      <c r="J10" s="57"/>
      <c r="S10" s="626"/>
      <c r="T10" s="118" t="s">
        <v>163</v>
      </c>
      <c r="U10" s="194">
        <v>882</v>
      </c>
      <c r="V10" s="26"/>
    </row>
    <row r="11" spans="1:22" ht="21.6" customHeight="1" x14ac:dyDescent="0.2">
      <c r="A11" s="623"/>
      <c r="B11" s="97" t="s">
        <v>164</v>
      </c>
      <c r="C11" s="193">
        <v>323</v>
      </c>
      <c r="D11" s="193">
        <v>0</v>
      </c>
      <c r="E11" s="193">
        <v>323</v>
      </c>
      <c r="F11" s="193">
        <v>0</v>
      </c>
      <c r="G11" s="193">
        <v>0</v>
      </c>
      <c r="H11" s="193">
        <v>0</v>
      </c>
      <c r="I11" s="193">
        <v>323</v>
      </c>
      <c r="J11" s="57"/>
      <c r="S11" s="626"/>
      <c r="T11" s="118" t="s">
        <v>164</v>
      </c>
      <c r="U11" s="194">
        <v>65189</v>
      </c>
      <c r="V11" s="26"/>
    </row>
    <row r="12" spans="1:22" ht="21.6" customHeight="1" x14ac:dyDescent="0.2">
      <c r="A12" s="623"/>
      <c r="B12" s="97" t="s">
        <v>29</v>
      </c>
      <c r="C12" s="193">
        <v>2547.1</v>
      </c>
      <c r="D12" s="193">
        <v>0</v>
      </c>
      <c r="E12" s="193">
        <v>2547.1</v>
      </c>
      <c r="F12" s="193">
        <v>0</v>
      </c>
      <c r="G12" s="193">
        <v>0</v>
      </c>
      <c r="H12" s="193">
        <v>8</v>
      </c>
      <c r="I12" s="193">
        <v>2539.1</v>
      </c>
      <c r="J12" s="57"/>
      <c r="S12" s="626"/>
      <c r="T12" s="118" t="s">
        <v>29</v>
      </c>
      <c r="U12" s="194">
        <v>6380.12</v>
      </c>
      <c r="V12" s="26"/>
    </row>
    <row r="13" spans="1:22" ht="21.6" customHeight="1" x14ac:dyDescent="0.2">
      <c r="A13" s="623"/>
      <c r="B13" s="92" t="s">
        <v>86</v>
      </c>
      <c r="C13" s="188">
        <f t="shared" ref="C13:I13" si="3">C14</f>
        <v>238.7</v>
      </c>
      <c r="D13" s="188">
        <f t="shared" si="3"/>
        <v>0</v>
      </c>
      <c r="E13" s="188">
        <f t="shared" si="3"/>
        <v>238.7</v>
      </c>
      <c r="F13" s="188">
        <f t="shared" si="3"/>
        <v>34.200000000000003</v>
      </c>
      <c r="G13" s="188">
        <f t="shared" si="3"/>
        <v>0</v>
      </c>
      <c r="H13" s="188">
        <f t="shared" si="3"/>
        <v>0</v>
      </c>
      <c r="I13" s="188">
        <f t="shared" si="3"/>
        <v>272.89999999999998</v>
      </c>
      <c r="J13" s="57"/>
      <c r="S13" s="626"/>
      <c r="T13" s="92" t="s">
        <v>86</v>
      </c>
      <c r="U13" s="192">
        <f>U14</f>
        <v>88462.49</v>
      </c>
      <c r="V13" s="26"/>
    </row>
    <row r="14" spans="1:22" ht="21.6" customHeight="1" x14ac:dyDescent="0.2">
      <c r="A14" s="623"/>
      <c r="B14" s="97" t="s">
        <v>25</v>
      </c>
      <c r="C14" s="193">
        <v>238.7</v>
      </c>
      <c r="D14" s="193">
        <v>0</v>
      </c>
      <c r="E14" s="193">
        <v>238.7</v>
      </c>
      <c r="F14" s="193">
        <v>34.200000000000003</v>
      </c>
      <c r="G14" s="193">
        <v>0</v>
      </c>
      <c r="H14" s="193">
        <v>0</v>
      </c>
      <c r="I14" s="193">
        <v>272.89999999999998</v>
      </c>
      <c r="J14" s="57"/>
      <c r="S14" s="622"/>
      <c r="T14" s="118" t="s">
        <v>25</v>
      </c>
      <c r="U14" s="194">
        <v>88462.49</v>
      </c>
      <c r="V14" s="26"/>
    </row>
    <row r="15" spans="1:22" ht="21.6" customHeight="1" x14ac:dyDescent="0.2">
      <c r="A15" s="623" t="s">
        <v>166</v>
      </c>
      <c r="B15" s="92" t="s">
        <v>89</v>
      </c>
      <c r="C15" s="188">
        <f t="shared" ref="C15:I15" si="4">C16</f>
        <v>452.7</v>
      </c>
      <c r="D15" s="188">
        <f t="shared" si="4"/>
        <v>0</v>
      </c>
      <c r="E15" s="188">
        <f t="shared" si="4"/>
        <v>452.7</v>
      </c>
      <c r="F15" s="188">
        <f t="shared" si="4"/>
        <v>29.7</v>
      </c>
      <c r="G15" s="188">
        <f t="shared" si="4"/>
        <v>0.7</v>
      </c>
      <c r="H15" s="188">
        <f t="shared" si="4"/>
        <v>5</v>
      </c>
      <c r="I15" s="188">
        <f t="shared" si="4"/>
        <v>478.1</v>
      </c>
      <c r="J15" s="57"/>
      <c r="S15" s="625" t="s">
        <v>166</v>
      </c>
      <c r="T15" s="92" t="s">
        <v>89</v>
      </c>
      <c r="U15" s="192">
        <f>U16</f>
        <v>26891</v>
      </c>
      <c r="V15" s="26"/>
    </row>
    <row r="16" spans="1:22" ht="21.6" customHeight="1" x14ac:dyDescent="0.2">
      <c r="A16" s="623"/>
      <c r="B16" s="97" t="s">
        <v>11</v>
      </c>
      <c r="C16" s="195">
        <v>452.7</v>
      </c>
      <c r="D16" s="195">
        <v>0</v>
      </c>
      <c r="E16" s="195">
        <v>452.7</v>
      </c>
      <c r="F16" s="195">
        <v>29.7</v>
      </c>
      <c r="G16" s="195">
        <v>0.7</v>
      </c>
      <c r="H16" s="195">
        <v>5</v>
      </c>
      <c r="I16" s="195">
        <v>478.1</v>
      </c>
      <c r="J16" s="57"/>
      <c r="S16" s="626"/>
      <c r="T16" s="118" t="s">
        <v>11</v>
      </c>
      <c r="U16" s="194">
        <v>26891</v>
      </c>
      <c r="V16" s="26"/>
    </row>
    <row r="17" spans="1:22" ht="21.6" customHeight="1" x14ac:dyDescent="0.2">
      <c r="A17" s="623"/>
      <c r="B17" s="92" t="s">
        <v>94</v>
      </c>
      <c r="C17" s="188">
        <f t="shared" ref="C17:I17" si="5">C18</f>
        <v>1269.2</v>
      </c>
      <c r="D17" s="188">
        <f t="shared" si="5"/>
        <v>0</v>
      </c>
      <c r="E17" s="188">
        <f t="shared" si="5"/>
        <v>1269.2</v>
      </c>
      <c r="F17" s="188">
        <f t="shared" si="5"/>
        <v>110.04</v>
      </c>
      <c r="G17" s="188">
        <f t="shared" si="5"/>
        <v>0</v>
      </c>
      <c r="H17" s="188">
        <f t="shared" si="5"/>
        <v>14.47</v>
      </c>
      <c r="I17" s="188">
        <f t="shared" si="5"/>
        <v>1364.77</v>
      </c>
      <c r="J17" s="57"/>
      <c r="S17" s="626"/>
      <c r="T17" s="92" t="s">
        <v>94</v>
      </c>
      <c r="U17" s="192">
        <f>U18</f>
        <v>25916</v>
      </c>
      <c r="V17" s="26"/>
    </row>
    <row r="18" spans="1:22" ht="21.6" customHeight="1" x14ac:dyDescent="0.2">
      <c r="A18" s="623"/>
      <c r="B18" s="97" t="s">
        <v>167</v>
      </c>
      <c r="C18" s="193">
        <v>1269.2</v>
      </c>
      <c r="D18" s="193">
        <v>0</v>
      </c>
      <c r="E18" s="193">
        <v>1269.2</v>
      </c>
      <c r="F18" s="193">
        <v>110.04</v>
      </c>
      <c r="G18" s="193">
        <v>0</v>
      </c>
      <c r="H18" s="193">
        <v>14.47</v>
      </c>
      <c r="I18" s="193">
        <v>1364.77</v>
      </c>
      <c r="J18" s="57"/>
      <c r="S18" s="626"/>
      <c r="T18" s="118" t="s">
        <v>167</v>
      </c>
      <c r="U18" s="194">
        <v>25916</v>
      </c>
      <c r="V18" s="26"/>
    </row>
    <row r="19" spans="1:22" ht="21.6" customHeight="1" x14ac:dyDescent="0.2">
      <c r="A19" s="623"/>
      <c r="B19" s="92" t="s">
        <v>97</v>
      </c>
      <c r="C19" s="188">
        <f t="shared" ref="C19:I19" si="6">C20</f>
        <v>4014.3</v>
      </c>
      <c r="D19" s="188">
        <f t="shared" si="6"/>
        <v>442.7</v>
      </c>
      <c r="E19" s="188">
        <f t="shared" si="6"/>
        <v>4457</v>
      </c>
      <c r="F19" s="188">
        <f t="shared" si="6"/>
        <v>1.62</v>
      </c>
      <c r="G19" s="188">
        <f t="shared" si="6"/>
        <v>0</v>
      </c>
      <c r="H19" s="188">
        <f t="shared" si="6"/>
        <v>0</v>
      </c>
      <c r="I19" s="188">
        <f t="shared" si="6"/>
        <v>4458.62</v>
      </c>
      <c r="J19" s="57"/>
      <c r="S19" s="626"/>
      <c r="T19" s="92" t="s">
        <v>97</v>
      </c>
      <c r="U19" s="192">
        <f>U20</f>
        <v>99420</v>
      </c>
      <c r="V19" s="26"/>
    </row>
    <row r="20" spans="1:22" ht="21.6" customHeight="1" x14ac:dyDescent="0.2">
      <c r="A20" s="623"/>
      <c r="B20" s="97" t="s">
        <v>20</v>
      </c>
      <c r="C20" s="193">
        <v>4014.3</v>
      </c>
      <c r="D20" s="193">
        <v>442.7</v>
      </c>
      <c r="E20" s="193">
        <v>4457</v>
      </c>
      <c r="F20" s="193">
        <v>1.62</v>
      </c>
      <c r="G20" s="193">
        <v>0</v>
      </c>
      <c r="H20" s="193">
        <v>0</v>
      </c>
      <c r="I20" s="193">
        <v>4458.62</v>
      </c>
      <c r="J20" s="57"/>
      <c r="S20" s="622"/>
      <c r="T20" s="118" t="s">
        <v>20</v>
      </c>
      <c r="U20" s="194">
        <v>99420</v>
      </c>
      <c r="V20" s="26"/>
    </row>
    <row r="21" spans="1:22" ht="21.6" customHeight="1" x14ac:dyDescent="0.2">
      <c r="A21" s="623" t="s">
        <v>168</v>
      </c>
      <c r="B21" s="92" t="s">
        <v>76</v>
      </c>
      <c r="C21" s="188">
        <f t="shared" ref="C21:I21" si="7">SUM(C22:C23)</f>
        <v>5695.6490000000003</v>
      </c>
      <c r="D21" s="188">
        <f t="shared" si="7"/>
        <v>-57.029000000000003</v>
      </c>
      <c r="E21" s="188">
        <f t="shared" si="7"/>
        <v>5638.62</v>
      </c>
      <c r="F21" s="188">
        <f t="shared" si="7"/>
        <v>178.5</v>
      </c>
      <c r="G21" s="188">
        <f t="shared" si="7"/>
        <v>8.8000000000000007</v>
      </c>
      <c r="H21" s="188">
        <f t="shared" si="7"/>
        <v>0</v>
      </c>
      <c r="I21" s="188">
        <f t="shared" si="7"/>
        <v>5825.92</v>
      </c>
      <c r="J21" s="57"/>
      <c r="S21" s="625" t="s">
        <v>168</v>
      </c>
      <c r="T21" s="92" t="s">
        <v>76</v>
      </c>
      <c r="U21" s="192">
        <f>SUM(U22:U23)</f>
        <v>14037.2</v>
      </c>
      <c r="V21" s="26"/>
    </row>
    <row r="22" spans="1:22" ht="21.6" customHeight="1" x14ac:dyDescent="0.2">
      <c r="A22" s="623"/>
      <c r="B22" s="97" t="s">
        <v>169</v>
      </c>
      <c r="C22" s="193">
        <v>4088.8</v>
      </c>
      <c r="D22" s="193">
        <v>0</v>
      </c>
      <c r="E22" s="193">
        <v>4088.8</v>
      </c>
      <c r="F22" s="193">
        <v>178.5</v>
      </c>
      <c r="G22" s="193">
        <v>0</v>
      </c>
      <c r="H22" s="193">
        <v>0</v>
      </c>
      <c r="I22" s="193">
        <v>4267.3</v>
      </c>
      <c r="J22" s="57"/>
      <c r="S22" s="626"/>
      <c r="T22" s="118" t="s">
        <v>169</v>
      </c>
      <c r="U22" s="194">
        <v>9642</v>
      </c>
      <c r="V22" s="26"/>
    </row>
    <row r="23" spans="1:22" ht="21.6" customHeight="1" x14ac:dyDescent="0.2">
      <c r="A23" s="623"/>
      <c r="B23" s="97" t="s">
        <v>14</v>
      </c>
      <c r="C23" s="193">
        <v>1606.8489999999999</v>
      </c>
      <c r="D23" s="193">
        <v>-57.029000000000003</v>
      </c>
      <c r="E23" s="193">
        <v>1549.82</v>
      </c>
      <c r="F23" s="193">
        <v>0</v>
      </c>
      <c r="G23" s="193">
        <v>8.8000000000000007</v>
      </c>
      <c r="H23" s="193">
        <v>0</v>
      </c>
      <c r="I23" s="193">
        <v>1558.62</v>
      </c>
      <c r="J23" s="57"/>
      <c r="S23" s="622"/>
      <c r="T23" s="118" t="s">
        <v>14</v>
      </c>
      <c r="U23" s="194">
        <v>4395.2</v>
      </c>
      <c r="V23" s="26"/>
    </row>
    <row r="24" spans="1:22" ht="21.6" customHeight="1" x14ac:dyDescent="0.2">
      <c r="A24" s="42" t="s">
        <v>170</v>
      </c>
      <c r="B24" s="120" t="s">
        <v>90</v>
      </c>
      <c r="C24" s="188">
        <f t="shared" ref="C24:I24" si="8">SUM(C4,C7,C9,C13,C15,C17,C19,C21)</f>
        <v>19681.649000000005</v>
      </c>
      <c r="D24" s="188">
        <f t="shared" si="8"/>
        <v>470.31100000000004</v>
      </c>
      <c r="E24" s="188">
        <f t="shared" si="8"/>
        <v>20151.960000000003</v>
      </c>
      <c r="F24" s="188">
        <f t="shared" si="8"/>
        <v>518.1400000000001</v>
      </c>
      <c r="G24" s="188">
        <f t="shared" si="8"/>
        <v>9.5</v>
      </c>
      <c r="H24" s="188">
        <f t="shared" si="8"/>
        <v>55.589999999999996</v>
      </c>
      <c r="I24" s="188">
        <f t="shared" si="8"/>
        <v>20624.010000000002</v>
      </c>
      <c r="J24" s="57"/>
      <c r="S24" s="42" t="s">
        <v>170</v>
      </c>
      <c r="T24" s="120" t="s">
        <v>90</v>
      </c>
      <c r="U24" s="192">
        <f>SUM(U4,U7,U9,U13,U15,U17,U19,U21)</f>
        <v>391415.81</v>
      </c>
      <c r="V24" s="26"/>
    </row>
    <row r="25" spans="1:22" ht="46.7" customHeight="1" x14ac:dyDescent="0.2">
      <c r="A25" s="563" t="s">
        <v>389</v>
      </c>
      <c r="B25" s="563"/>
      <c r="C25" s="563"/>
      <c r="D25" s="563"/>
      <c r="E25" s="563"/>
      <c r="F25" s="563"/>
      <c r="G25" s="563"/>
      <c r="H25" s="563"/>
      <c r="I25" s="563"/>
      <c r="J25" s="23"/>
      <c r="S25" s="566" t="s">
        <v>390</v>
      </c>
      <c r="T25" s="566"/>
      <c r="U25" s="566"/>
    </row>
    <row r="26" spans="1:22" ht="66.599999999999994" customHeight="1" x14ac:dyDescent="0.2">
      <c r="A26" s="23"/>
      <c r="B26" s="23"/>
      <c r="C26" s="23"/>
      <c r="D26" s="33"/>
      <c r="E26" s="23"/>
      <c r="F26" s="23"/>
      <c r="G26" s="23"/>
      <c r="H26" s="23"/>
      <c r="I26" s="23"/>
      <c r="J26" s="23"/>
    </row>
    <row r="27" spans="1:22" ht="39.200000000000003" customHeight="1" x14ac:dyDescent="0.2">
      <c r="A27" s="7"/>
      <c r="B27" s="7"/>
      <c r="C27" s="7"/>
      <c r="D27" s="7"/>
      <c r="E27" s="7"/>
      <c r="F27" s="7"/>
      <c r="H27" s="7"/>
      <c r="I27" s="23"/>
      <c r="J27" s="23"/>
    </row>
    <row r="28" spans="1:22" ht="30.75" customHeight="1" x14ac:dyDescent="0.2">
      <c r="A28" s="7"/>
      <c r="B28" s="7"/>
      <c r="C28" s="7"/>
      <c r="D28" s="7"/>
      <c r="E28" s="7"/>
      <c r="F28" s="7"/>
      <c r="I28" s="23"/>
      <c r="J28" s="23"/>
    </row>
    <row r="29" spans="1:22" ht="18.2" customHeight="1" x14ac:dyDescent="0.2">
      <c r="A29" s="7"/>
      <c r="I29" s="23"/>
      <c r="J29" s="23"/>
    </row>
    <row r="30" spans="1:22" ht="66.599999999999994" customHeight="1" x14ac:dyDescent="0.2">
      <c r="A30" s="30"/>
      <c r="B30" s="30"/>
      <c r="C30" s="30"/>
      <c r="D30" s="30"/>
      <c r="E30" s="30"/>
      <c r="F30" s="30"/>
      <c r="G30" s="23"/>
      <c r="H30" s="23"/>
      <c r="I30" s="23"/>
      <c r="J30" s="23"/>
    </row>
    <row r="31" spans="1:22" ht="29.1" customHeight="1" x14ac:dyDescent="0.2">
      <c r="A31" s="7"/>
      <c r="B31" s="7"/>
      <c r="C31" s="7"/>
      <c r="D31" s="23"/>
      <c r="E31" s="23"/>
      <c r="F31" s="23"/>
      <c r="G31" s="23"/>
      <c r="H31" s="23"/>
      <c r="I31" s="23"/>
      <c r="J31" s="23"/>
    </row>
    <row r="32" spans="1:22" ht="21.6" customHeight="1" x14ac:dyDescent="0.2">
      <c r="A32" s="7"/>
      <c r="B32" s="7"/>
      <c r="C32" s="7"/>
      <c r="D32" s="23"/>
      <c r="E32" s="23"/>
      <c r="F32" s="23"/>
      <c r="G32" s="23"/>
      <c r="H32" s="23"/>
      <c r="I32" s="23"/>
      <c r="J32" s="23"/>
    </row>
    <row r="33" spans="1:10" ht="21.6" customHeight="1" x14ac:dyDescent="0.2">
      <c r="B33" s="7"/>
      <c r="C33" s="7"/>
      <c r="D33" s="23"/>
      <c r="E33" s="23"/>
      <c r="F33" s="23"/>
      <c r="G33" s="23"/>
      <c r="H33" s="23"/>
      <c r="I33" s="23"/>
      <c r="J33" s="23"/>
    </row>
    <row r="34" spans="1:10" ht="21.6" customHeight="1" x14ac:dyDescent="0.2">
      <c r="B34" s="7"/>
      <c r="C34" s="7"/>
      <c r="D34" s="23"/>
      <c r="E34" s="23"/>
      <c r="F34" s="23"/>
      <c r="G34" s="23"/>
      <c r="H34" s="23"/>
      <c r="I34" s="23"/>
      <c r="J34" s="23"/>
    </row>
    <row r="35" spans="1:10" ht="21.6" customHeight="1" x14ac:dyDescent="0.2">
      <c r="A35" s="7"/>
      <c r="B35" s="7"/>
      <c r="C35" s="7"/>
      <c r="D35" s="23"/>
      <c r="E35" s="23"/>
      <c r="F35" s="23"/>
      <c r="G35" s="23"/>
      <c r="H35" s="23"/>
      <c r="I35" s="23"/>
      <c r="J35" s="23"/>
    </row>
    <row r="36" spans="1:10" ht="21.6" customHeight="1" x14ac:dyDescent="0.2">
      <c r="B36" s="7"/>
      <c r="C36" s="7"/>
      <c r="D36" s="23"/>
      <c r="E36" s="23"/>
      <c r="F36" s="23"/>
      <c r="G36" s="23"/>
      <c r="H36" s="23"/>
      <c r="I36" s="23"/>
      <c r="J36" s="23"/>
    </row>
    <row r="37" spans="1:10" ht="21.6" customHeight="1" x14ac:dyDescent="0.2">
      <c r="B37" s="7"/>
      <c r="C37" s="7"/>
      <c r="D37" s="23"/>
      <c r="E37" s="23"/>
      <c r="F37" s="23"/>
      <c r="G37" s="23"/>
      <c r="H37" s="23"/>
      <c r="I37" s="23"/>
      <c r="J37" s="23"/>
    </row>
    <row r="38" spans="1:10" ht="21.6" customHeight="1" x14ac:dyDescent="0.2">
      <c r="B38" s="7"/>
      <c r="C38" s="7"/>
      <c r="D38" s="23"/>
      <c r="E38" s="23"/>
      <c r="F38" s="23"/>
      <c r="G38" s="23"/>
      <c r="H38" s="23"/>
      <c r="I38" s="23"/>
      <c r="J38" s="23"/>
    </row>
    <row r="39" spans="1:10" ht="21.6" customHeight="1" x14ac:dyDescent="0.2">
      <c r="B39" s="7"/>
      <c r="C39" s="7"/>
      <c r="D39" s="23"/>
      <c r="E39" s="23"/>
      <c r="F39" s="23"/>
      <c r="G39" s="23"/>
      <c r="H39" s="23"/>
      <c r="I39" s="23"/>
      <c r="J39" s="23"/>
    </row>
    <row r="40" spans="1:10" ht="21.6" customHeight="1" x14ac:dyDescent="0.2">
      <c r="B40" s="7"/>
      <c r="C40" s="7"/>
      <c r="D40" s="23"/>
      <c r="E40" s="23"/>
      <c r="F40" s="23"/>
      <c r="G40" s="23"/>
      <c r="H40" s="23"/>
      <c r="I40" s="23"/>
      <c r="J40" s="23"/>
    </row>
    <row r="41" spans="1:10" ht="21.6" customHeight="1" x14ac:dyDescent="0.2">
      <c r="B41" s="7"/>
      <c r="C41" s="7"/>
      <c r="D41" s="23"/>
      <c r="E41" s="23"/>
      <c r="F41" s="23"/>
      <c r="G41" s="23"/>
      <c r="H41" s="23"/>
      <c r="I41" s="23"/>
      <c r="J41" s="23"/>
    </row>
    <row r="42" spans="1:10" ht="21.6" customHeight="1" x14ac:dyDescent="0.2">
      <c r="B42" s="7"/>
      <c r="C42" s="7"/>
      <c r="D42" s="23"/>
      <c r="E42" s="23"/>
      <c r="F42" s="23"/>
      <c r="G42" s="23"/>
      <c r="H42" s="23"/>
      <c r="I42" s="23"/>
      <c r="J42" s="23"/>
    </row>
    <row r="43" spans="1:10" ht="21.6" customHeight="1" x14ac:dyDescent="0.2">
      <c r="A43" s="7"/>
      <c r="B43" s="7"/>
      <c r="C43" s="7"/>
      <c r="D43" s="23"/>
      <c r="E43" s="23"/>
      <c r="F43" s="23"/>
      <c r="G43" s="23"/>
      <c r="H43" s="23"/>
      <c r="I43" s="23"/>
      <c r="J43" s="23"/>
    </row>
    <row r="44" spans="1:10" ht="21.6" customHeight="1" x14ac:dyDescent="0.2">
      <c r="B44" s="7"/>
      <c r="C44" s="7"/>
      <c r="D44" s="23"/>
      <c r="E44" s="23"/>
      <c r="F44" s="23"/>
      <c r="G44" s="23"/>
      <c r="H44" s="23"/>
      <c r="I44" s="23"/>
      <c r="J44" s="23"/>
    </row>
    <row r="45" spans="1:10" ht="21.6" customHeight="1" x14ac:dyDescent="0.2">
      <c r="B45" s="7"/>
      <c r="C45" s="7"/>
      <c r="D45" s="23"/>
      <c r="E45" s="23"/>
      <c r="F45" s="23"/>
      <c r="G45" s="23"/>
      <c r="H45" s="23"/>
      <c r="I45" s="23"/>
      <c r="J45" s="23"/>
    </row>
    <row r="46" spans="1:10" ht="21.6" customHeight="1" x14ac:dyDescent="0.2">
      <c r="B46" s="7"/>
      <c r="C46" s="7"/>
      <c r="D46" s="23"/>
      <c r="E46" s="23"/>
      <c r="F46" s="23"/>
      <c r="G46" s="23"/>
      <c r="H46" s="23"/>
      <c r="I46" s="23"/>
      <c r="J46" s="23"/>
    </row>
    <row r="47" spans="1:10" ht="21.6" customHeight="1" x14ac:dyDescent="0.2">
      <c r="B47" s="7"/>
      <c r="C47" s="7"/>
      <c r="D47" s="23"/>
      <c r="E47" s="23"/>
      <c r="F47" s="23"/>
      <c r="G47" s="23"/>
      <c r="H47" s="23"/>
      <c r="I47" s="23"/>
      <c r="J47" s="23"/>
    </row>
    <row r="48" spans="1:10" ht="21.6" customHeight="1" x14ac:dyDescent="0.2">
      <c r="B48" s="7"/>
      <c r="C48" s="7"/>
      <c r="D48" s="23"/>
      <c r="E48" s="23"/>
      <c r="F48" s="23"/>
      <c r="G48" s="23"/>
      <c r="H48" s="23"/>
      <c r="I48" s="23"/>
      <c r="J48" s="23"/>
    </row>
    <row r="49" spans="1:10" ht="21.6" customHeight="1" x14ac:dyDescent="0.2">
      <c r="A49" s="7"/>
      <c r="B49" s="7"/>
      <c r="C49" s="7"/>
      <c r="D49" s="23"/>
      <c r="E49" s="23"/>
      <c r="F49" s="23"/>
      <c r="G49" s="23"/>
      <c r="H49" s="23"/>
      <c r="I49" s="23"/>
      <c r="J49" s="23"/>
    </row>
    <row r="50" spans="1:10" ht="21.6" customHeight="1" x14ac:dyDescent="0.2">
      <c r="B50" s="7"/>
      <c r="C50" s="7"/>
      <c r="D50" s="23"/>
      <c r="E50" s="23"/>
      <c r="F50" s="23"/>
      <c r="G50" s="23"/>
      <c r="H50" s="23"/>
      <c r="I50" s="23"/>
      <c r="J50" s="23"/>
    </row>
    <row r="51" spans="1:10" ht="21.6" customHeight="1" x14ac:dyDescent="0.2">
      <c r="B51" s="7"/>
      <c r="C51" s="7"/>
      <c r="D51" s="23"/>
      <c r="E51" s="23"/>
      <c r="F51" s="23"/>
      <c r="G51" s="23"/>
      <c r="H51" s="23"/>
      <c r="I51" s="23"/>
      <c r="J51" s="23"/>
    </row>
    <row r="52" spans="1:10" ht="21.6" customHeight="1" x14ac:dyDescent="0.2">
      <c r="A52" s="7"/>
      <c r="B52" s="7"/>
      <c r="C52" s="7"/>
      <c r="D52" s="23"/>
      <c r="E52" s="23"/>
      <c r="F52" s="23"/>
      <c r="G52" s="23"/>
      <c r="H52" s="23"/>
      <c r="I52" s="23"/>
      <c r="J52" s="23"/>
    </row>
    <row r="53" spans="1:10" ht="39.200000000000003" customHeight="1" x14ac:dyDescent="0.2">
      <c r="A53" s="7"/>
      <c r="D53" s="34"/>
      <c r="E53" s="34"/>
      <c r="F53" s="23"/>
      <c r="G53" s="23"/>
      <c r="H53" s="23"/>
      <c r="I53" s="23"/>
      <c r="J53" s="23"/>
    </row>
  </sheetData>
  <sheetProtection algorithmName="SHA-512" hashValue="MoDrqK2wdHqdv2ZUFUuAfbuOIiSut/cPieKBwVjkkMfPl5B696VW/FUR2ONDtkj7QN/vGaq0z5YbQU8K+/cGXQ==" saltValue="8OVXrqxsw8ju1QYiI8qpdw==" spinCount="100000" sheet="1" objects="1" scenarios="1"/>
  <mergeCells count="12">
    <mergeCell ref="S7:S14"/>
    <mergeCell ref="S4:S6"/>
    <mergeCell ref="A21:A23"/>
    <mergeCell ref="A25:I25"/>
    <mergeCell ref="S15:S20"/>
    <mergeCell ref="S21:S23"/>
    <mergeCell ref="S25:U25"/>
    <mergeCell ref="A1:C1"/>
    <mergeCell ref="A4:A6"/>
    <mergeCell ref="K5:Q6"/>
    <mergeCell ref="A7:A14"/>
    <mergeCell ref="A15: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9"/>
  <sheetViews>
    <sheetView showGridLines="0" showRuler="0" workbookViewId="0">
      <selection activeCell="E4" sqref="E4"/>
    </sheetView>
  </sheetViews>
  <sheetFormatPr defaultColWidth="13.140625" defaultRowHeight="12.75" x14ac:dyDescent="0.2"/>
  <cols>
    <col min="1" max="1" width="27.85546875" customWidth="1"/>
    <col min="2" max="2" width="22.140625" customWidth="1"/>
    <col min="3" max="3" width="14.140625" hidden="1" customWidth="1"/>
    <col min="4" max="6" width="14.140625" customWidth="1"/>
    <col min="7" max="7" width="14.85546875" customWidth="1"/>
    <col min="8" max="8" width="14.140625" customWidth="1"/>
    <col min="9" max="9" width="10.42578125" customWidth="1"/>
    <col min="10" max="10" width="30.140625" customWidth="1"/>
    <col min="11" max="11" width="23.28515625" customWidth="1"/>
  </cols>
  <sheetData>
    <row r="1" spans="1:19" ht="17.45" customHeight="1" x14ac:dyDescent="0.25">
      <c r="A1" s="624" t="s">
        <v>391</v>
      </c>
      <c r="B1" s="624"/>
      <c r="C1" s="624"/>
      <c r="D1" s="624"/>
      <c r="E1" s="624"/>
      <c r="F1" s="34"/>
      <c r="G1" s="34"/>
      <c r="H1" s="23"/>
      <c r="I1" s="23"/>
      <c r="J1" s="23"/>
    </row>
    <row r="2" spans="1:19" x14ac:dyDescent="0.2">
      <c r="A2" s="23"/>
      <c r="B2" s="23"/>
      <c r="C2" s="23"/>
      <c r="D2" s="23"/>
      <c r="E2" s="23"/>
      <c r="F2" s="23"/>
      <c r="G2" s="23"/>
      <c r="H2" s="23"/>
      <c r="I2" s="23"/>
      <c r="J2" s="23"/>
    </row>
    <row r="3" spans="1:19" x14ac:dyDescent="0.2">
      <c r="A3" s="24"/>
      <c r="B3" s="24"/>
      <c r="C3" s="24"/>
      <c r="D3" s="24"/>
      <c r="E3" s="24"/>
      <c r="F3" s="24"/>
      <c r="G3" s="24"/>
      <c r="H3" s="24"/>
      <c r="I3" s="23"/>
      <c r="J3" s="24"/>
    </row>
    <row r="4" spans="1:19" ht="75.75" customHeight="1" x14ac:dyDescent="0.2">
      <c r="A4" s="652" t="s">
        <v>392</v>
      </c>
      <c r="B4" s="652"/>
      <c r="C4" s="37">
        <v>2015</v>
      </c>
      <c r="D4" s="37">
        <v>2016</v>
      </c>
      <c r="E4" s="37">
        <v>2017</v>
      </c>
      <c r="F4" s="37">
        <v>2018</v>
      </c>
      <c r="G4" s="37">
        <v>2019</v>
      </c>
      <c r="H4" s="37">
        <v>2020</v>
      </c>
      <c r="I4" s="11"/>
      <c r="J4" s="447" t="s">
        <v>1160</v>
      </c>
      <c r="K4" s="400" t="s">
        <v>142</v>
      </c>
      <c r="L4" s="400" t="s">
        <v>393</v>
      </c>
      <c r="M4" s="400" t="s">
        <v>1119</v>
      </c>
      <c r="N4" s="400" t="s">
        <v>394</v>
      </c>
      <c r="O4" s="400" t="s">
        <v>395</v>
      </c>
      <c r="P4" s="400" t="s">
        <v>396</v>
      </c>
      <c r="Q4" s="400" t="s">
        <v>1120</v>
      </c>
      <c r="R4" s="400" t="s">
        <v>1121</v>
      </c>
      <c r="S4" s="26"/>
    </row>
    <row r="5" spans="1:19" ht="21.6" customHeight="1" x14ac:dyDescent="0.2">
      <c r="A5" s="581" t="s">
        <v>397</v>
      </c>
      <c r="B5" s="581"/>
      <c r="C5" s="197">
        <v>49.2</v>
      </c>
      <c r="D5" s="197">
        <v>57.8</v>
      </c>
      <c r="E5" s="197">
        <v>68.599999999999994</v>
      </c>
      <c r="F5" s="197">
        <v>59.1</v>
      </c>
      <c r="G5" s="198">
        <v>47.3</v>
      </c>
      <c r="H5" s="199">
        <v>45383.093959999998</v>
      </c>
      <c r="I5" s="11"/>
      <c r="J5" s="623" t="s">
        <v>154</v>
      </c>
      <c r="K5" s="401" t="s">
        <v>72</v>
      </c>
      <c r="L5" s="402">
        <f t="shared" ref="L5:Q5" si="0">SUM(L6:L7)</f>
        <v>0</v>
      </c>
      <c r="M5" s="402">
        <f t="shared" si="0"/>
        <v>0</v>
      </c>
      <c r="N5" s="402">
        <f t="shared" si="0"/>
        <v>0</v>
      </c>
      <c r="O5" s="402">
        <f t="shared" si="0"/>
        <v>2</v>
      </c>
      <c r="P5" s="402">
        <f t="shared" si="0"/>
        <v>2</v>
      </c>
      <c r="Q5" s="402">
        <f t="shared" si="0"/>
        <v>0</v>
      </c>
      <c r="R5" s="396"/>
      <c r="S5" s="26"/>
    </row>
    <row r="6" spans="1:19" ht="28.35" customHeight="1" x14ac:dyDescent="0.2">
      <c r="A6" s="563" t="s">
        <v>398</v>
      </c>
      <c r="B6" s="575"/>
      <c r="C6" s="575"/>
      <c r="D6" s="575"/>
      <c r="E6" s="575"/>
      <c r="F6" s="575"/>
      <c r="G6" s="575"/>
      <c r="H6" s="29"/>
      <c r="I6" s="16"/>
      <c r="J6" s="623"/>
      <c r="K6" s="97" t="s">
        <v>41</v>
      </c>
      <c r="L6" s="403">
        <v>0</v>
      </c>
      <c r="M6" s="403">
        <v>0</v>
      </c>
      <c r="N6" s="403">
        <v>0</v>
      </c>
      <c r="O6" s="403">
        <v>2</v>
      </c>
      <c r="P6" s="403">
        <v>2</v>
      </c>
      <c r="Q6" s="403">
        <v>0</v>
      </c>
      <c r="R6" s="404" t="s">
        <v>197</v>
      </c>
      <c r="S6" s="26"/>
    </row>
    <row r="7" spans="1:19" ht="26.65" customHeight="1" x14ac:dyDescent="0.2">
      <c r="A7" s="23"/>
      <c r="B7" s="23"/>
      <c r="C7" s="23"/>
      <c r="D7" s="23"/>
      <c r="E7" s="23"/>
      <c r="F7" s="23"/>
      <c r="G7" s="23"/>
      <c r="H7" s="23"/>
      <c r="I7" s="16"/>
      <c r="J7" s="623"/>
      <c r="K7" s="97" t="s">
        <v>158</v>
      </c>
      <c r="L7" s="403">
        <v>0</v>
      </c>
      <c r="M7" s="403">
        <v>0</v>
      </c>
      <c r="N7" s="403">
        <v>0</v>
      </c>
      <c r="O7" s="403">
        <v>0</v>
      </c>
      <c r="P7" s="403">
        <v>0</v>
      </c>
      <c r="Q7" s="403">
        <v>0</v>
      </c>
      <c r="R7" s="404" t="s">
        <v>197</v>
      </c>
      <c r="S7" s="26"/>
    </row>
    <row r="8" spans="1:19" ht="32.450000000000003" customHeight="1" x14ac:dyDescent="0.2">
      <c r="A8" s="7"/>
      <c r="B8" s="7"/>
      <c r="C8" s="7"/>
      <c r="D8" s="7"/>
      <c r="E8" s="7"/>
      <c r="F8" s="7"/>
      <c r="G8" s="7"/>
      <c r="H8" s="7"/>
      <c r="I8" s="85"/>
      <c r="J8" s="623" t="s">
        <v>160</v>
      </c>
      <c r="K8" s="401" t="s">
        <v>79</v>
      </c>
      <c r="L8" s="402">
        <f t="shared" ref="L8:Q8" si="1">L9</f>
        <v>0</v>
      </c>
      <c r="M8" s="402">
        <f t="shared" si="1"/>
        <v>0</v>
      </c>
      <c r="N8" s="402">
        <f t="shared" si="1"/>
        <v>0</v>
      </c>
      <c r="O8" s="402">
        <f t="shared" si="1"/>
        <v>1</v>
      </c>
      <c r="P8" s="402">
        <f t="shared" si="1"/>
        <v>0</v>
      </c>
      <c r="Q8" s="402">
        <f t="shared" si="1"/>
        <v>0</v>
      </c>
      <c r="R8" s="396"/>
      <c r="S8" s="26"/>
    </row>
    <row r="9" spans="1:19" ht="21.6" customHeight="1" x14ac:dyDescent="0.2">
      <c r="A9" s="7"/>
      <c r="B9" s="7"/>
      <c r="C9" s="7"/>
      <c r="D9" s="7"/>
      <c r="E9" s="7"/>
      <c r="F9" s="7"/>
      <c r="G9" s="7"/>
      <c r="H9" s="7"/>
      <c r="J9" s="623"/>
      <c r="K9" s="97" t="s">
        <v>19</v>
      </c>
      <c r="L9" s="403">
        <v>0</v>
      </c>
      <c r="M9" s="403">
        <v>0</v>
      </c>
      <c r="N9" s="403">
        <v>0</v>
      </c>
      <c r="O9" s="403">
        <v>1</v>
      </c>
      <c r="P9" s="403">
        <v>0</v>
      </c>
      <c r="Q9" s="403">
        <v>0</v>
      </c>
      <c r="R9" s="404" t="s">
        <v>197</v>
      </c>
      <c r="S9" s="26"/>
    </row>
    <row r="10" spans="1:19" ht="21.6" customHeight="1" x14ac:dyDescent="0.2">
      <c r="B10" s="7"/>
      <c r="C10" s="7"/>
      <c r="D10" s="7"/>
      <c r="E10" s="7"/>
      <c r="F10" s="7"/>
      <c r="G10" s="7"/>
      <c r="H10" s="7"/>
      <c r="I10" s="85"/>
      <c r="J10" s="623"/>
      <c r="K10" s="401" t="s">
        <v>82</v>
      </c>
      <c r="L10" s="402">
        <f t="shared" ref="L10:Q10" si="2">SUM(L11:L13)</f>
        <v>0</v>
      </c>
      <c r="M10" s="402">
        <f t="shared" si="2"/>
        <v>0</v>
      </c>
      <c r="N10" s="402">
        <f t="shared" si="2"/>
        <v>0</v>
      </c>
      <c r="O10" s="402">
        <f t="shared" si="2"/>
        <v>1</v>
      </c>
      <c r="P10" s="402">
        <f t="shared" si="2"/>
        <v>1</v>
      </c>
      <c r="Q10" s="402">
        <f t="shared" si="2"/>
        <v>0</v>
      </c>
      <c r="R10" s="396"/>
      <c r="S10" s="26"/>
    </row>
    <row r="11" spans="1:19" ht="21.6" customHeight="1" x14ac:dyDescent="0.2">
      <c r="B11" s="7"/>
      <c r="C11" s="7"/>
      <c r="D11" s="7"/>
      <c r="E11" s="7"/>
      <c r="F11" s="7"/>
      <c r="G11" s="7"/>
      <c r="H11" s="7"/>
      <c r="I11" s="85"/>
      <c r="J11" s="623"/>
      <c r="K11" s="97" t="s">
        <v>163</v>
      </c>
      <c r="L11" s="403">
        <v>0</v>
      </c>
      <c r="M11" s="403">
        <v>0</v>
      </c>
      <c r="N11" s="403">
        <v>0</v>
      </c>
      <c r="O11" s="403">
        <v>0</v>
      </c>
      <c r="P11" s="403">
        <v>0</v>
      </c>
      <c r="Q11" s="403">
        <v>0</v>
      </c>
      <c r="R11" s="405" t="s">
        <v>197</v>
      </c>
      <c r="S11" s="26"/>
    </row>
    <row r="12" spans="1:19" ht="21.6" customHeight="1" x14ac:dyDescent="0.2">
      <c r="A12" s="7"/>
      <c r="B12" s="7"/>
      <c r="C12" s="7"/>
      <c r="D12" s="7"/>
      <c r="E12" s="7"/>
      <c r="F12" s="7"/>
      <c r="G12" s="7"/>
      <c r="H12" s="7"/>
      <c r="J12" s="623"/>
      <c r="K12" s="97" t="s">
        <v>164</v>
      </c>
      <c r="L12" s="403">
        <v>0</v>
      </c>
      <c r="M12" s="403">
        <v>0</v>
      </c>
      <c r="N12" s="403">
        <v>0</v>
      </c>
      <c r="O12" s="403">
        <v>0</v>
      </c>
      <c r="P12" s="403">
        <v>1</v>
      </c>
      <c r="Q12" s="403">
        <v>0</v>
      </c>
      <c r="R12" s="405" t="s">
        <v>197</v>
      </c>
      <c r="S12" s="26"/>
    </row>
    <row r="13" spans="1:19" ht="21.6" customHeight="1" x14ac:dyDescent="0.2">
      <c r="B13" s="7"/>
      <c r="C13" s="7"/>
      <c r="D13" s="7"/>
      <c r="E13" s="7"/>
      <c r="F13" s="7"/>
      <c r="G13" s="7"/>
      <c r="H13" s="7"/>
      <c r="I13" s="85"/>
      <c r="J13" s="623"/>
      <c r="K13" s="97" t="s">
        <v>29</v>
      </c>
      <c r="L13" s="403">
        <v>0</v>
      </c>
      <c r="M13" s="403">
        <v>0</v>
      </c>
      <c r="N13" s="403">
        <v>0</v>
      </c>
      <c r="O13" s="403">
        <v>1</v>
      </c>
      <c r="P13" s="403">
        <v>0</v>
      </c>
      <c r="Q13" s="403">
        <v>0</v>
      </c>
      <c r="R13" s="405" t="s">
        <v>197</v>
      </c>
      <c r="S13" s="26"/>
    </row>
    <row r="14" spans="1:19" ht="21.6" customHeight="1" x14ac:dyDescent="0.2">
      <c r="B14" s="7"/>
      <c r="C14" s="7"/>
      <c r="D14" s="7"/>
      <c r="E14" s="7"/>
      <c r="F14" s="7"/>
      <c r="G14" s="7"/>
      <c r="H14" s="7"/>
      <c r="J14" s="623"/>
      <c r="K14" s="92" t="s">
        <v>86</v>
      </c>
      <c r="L14" s="200">
        <f t="shared" ref="L14:Q14" si="3">L15</f>
        <v>0</v>
      </c>
      <c r="M14" s="200">
        <f t="shared" si="3"/>
        <v>0</v>
      </c>
      <c r="N14" s="200">
        <f t="shared" si="3"/>
        <v>0</v>
      </c>
      <c r="O14" s="200">
        <f t="shared" si="3"/>
        <v>0</v>
      </c>
      <c r="P14" s="200">
        <f t="shared" si="3"/>
        <v>1</v>
      </c>
      <c r="Q14" s="200">
        <f t="shared" si="3"/>
        <v>0</v>
      </c>
      <c r="R14" s="202"/>
      <c r="S14" s="26"/>
    </row>
    <row r="15" spans="1:19" ht="21.6" customHeight="1" x14ac:dyDescent="0.2">
      <c r="B15" s="7"/>
      <c r="C15" s="7"/>
      <c r="D15" s="7"/>
      <c r="E15" s="7"/>
      <c r="F15" s="7"/>
      <c r="G15" s="7"/>
      <c r="H15" s="7"/>
      <c r="I15" s="85"/>
      <c r="J15" s="623"/>
      <c r="K15" s="97" t="s">
        <v>25</v>
      </c>
      <c r="L15" s="115">
        <v>0</v>
      </c>
      <c r="M15" s="115">
        <v>0</v>
      </c>
      <c r="N15" s="115">
        <v>0</v>
      </c>
      <c r="O15" s="115">
        <v>0</v>
      </c>
      <c r="P15" s="115">
        <v>1</v>
      </c>
      <c r="Q15" s="115">
        <v>0</v>
      </c>
      <c r="R15" s="48" t="s">
        <v>197</v>
      </c>
      <c r="S15" s="26"/>
    </row>
    <row r="16" spans="1:19" ht="21.6" customHeight="1" x14ac:dyDescent="0.2">
      <c r="B16" s="7"/>
      <c r="C16" s="7"/>
      <c r="D16" s="7"/>
      <c r="E16" s="7"/>
      <c r="F16" s="7"/>
      <c r="G16" s="7"/>
      <c r="H16" s="7"/>
      <c r="I16" s="85"/>
      <c r="J16" s="623" t="s">
        <v>166</v>
      </c>
      <c r="K16" s="92" t="s">
        <v>89</v>
      </c>
      <c r="L16" s="200">
        <f t="shared" ref="L16:Q16" si="4">L17</f>
        <v>0</v>
      </c>
      <c r="M16" s="200">
        <f t="shared" si="4"/>
        <v>0</v>
      </c>
      <c r="N16" s="200">
        <f t="shared" si="4"/>
        <v>0</v>
      </c>
      <c r="O16" s="200">
        <f t="shared" si="4"/>
        <v>0</v>
      </c>
      <c r="P16" s="200">
        <f t="shared" si="4"/>
        <v>0</v>
      </c>
      <c r="Q16" s="200">
        <f t="shared" si="4"/>
        <v>0</v>
      </c>
      <c r="R16" s="202"/>
      <c r="S16" s="26"/>
    </row>
    <row r="17" spans="1:19" ht="21.6" customHeight="1" x14ac:dyDescent="0.2">
      <c r="B17" s="7"/>
      <c r="C17" s="7"/>
      <c r="D17" s="7"/>
      <c r="E17" s="7"/>
      <c r="F17" s="7"/>
      <c r="G17" s="7"/>
      <c r="H17" s="7"/>
      <c r="I17" s="85"/>
      <c r="J17" s="623"/>
      <c r="K17" s="97" t="s">
        <v>11</v>
      </c>
      <c r="L17" s="115">
        <v>0</v>
      </c>
      <c r="M17" s="115">
        <v>0</v>
      </c>
      <c r="N17" s="115">
        <v>0</v>
      </c>
      <c r="O17" s="115">
        <v>0</v>
      </c>
      <c r="P17" s="115">
        <v>0</v>
      </c>
      <c r="Q17" s="115">
        <v>0</v>
      </c>
      <c r="R17" s="48" t="s">
        <v>197</v>
      </c>
      <c r="S17" s="26"/>
    </row>
    <row r="18" spans="1:19" ht="21.6" customHeight="1" x14ac:dyDescent="0.2">
      <c r="B18" s="7"/>
      <c r="C18" s="7"/>
      <c r="D18" s="7"/>
      <c r="E18" s="7"/>
      <c r="F18" s="7"/>
      <c r="G18" s="7"/>
      <c r="H18" s="7"/>
      <c r="J18" s="623"/>
      <c r="K18" s="92" t="s">
        <v>94</v>
      </c>
      <c r="L18" s="200">
        <f t="shared" ref="L18:Q18" si="5">L19</f>
        <v>0</v>
      </c>
      <c r="M18" s="200">
        <f t="shared" si="5"/>
        <v>0</v>
      </c>
      <c r="N18" s="200">
        <f t="shared" si="5"/>
        <v>0</v>
      </c>
      <c r="O18" s="200">
        <f t="shared" si="5"/>
        <v>0</v>
      </c>
      <c r="P18" s="200">
        <f t="shared" si="5"/>
        <v>0</v>
      </c>
      <c r="Q18" s="200">
        <f t="shared" si="5"/>
        <v>0</v>
      </c>
      <c r="R18" s="202"/>
      <c r="S18" s="26"/>
    </row>
    <row r="19" spans="1:19" ht="21.6" customHeight="1" x14ac:dyDescent="0.2">
      <c r="B19" s="7"/>
      <c r="C19" s="7"/>
      <c r="D19" s="7"/>
      <c r="E19" s="7"/>
      <c r="F19" s="7"/>
      <c r="G19" s="7"/>
      <c r="H19" s="7"/>
      <c r="I19" s="85"/>
      <c r="J19" s="623"/>
      <c r="K19" s="97" t="s">
        <v>167</v>
      </c>
      <c r="L19" s="116">
        <v>0</v>
      </c>
      <c r="M19" s="116">
        <v>0</v>
      </c>
      <c r="N19" s="116">
        <v>0</v>
      </c>
      <c r="O19" s="116">
        <v>0</v>
      </c>
      <c r="P19" s="116">
        <v>0</v>
      </c>
      <c r="Q19" s="116">
        <v>0</v>
      </c>
      <c r="R19" s="48" t="s">
        <v>197</v>
      </c>
      <c r="S19" s="26"/>
    </row>
    <row r="20" spans="1:19" ht="21.6" customHeight="1" x14ac:dyDescent="0.2">
      <c r="A20" s="7"/>
      <c r="B20" s="7"/>
      <c r="C20" s="7"/>
      <c r="D20" s="7"/>
      <c r="E20" s="7"/>
      <c r="F20" s="7"/>
      <c r="G20" s="7"/>
      <c r="H20" s="7"/>
      <c r="J20" s="623"/>
      <c r="K20" s="92" t="s">
        <v>97</v>
      </c>
      <c r="L20" s="200">
        <f t="shared" ref="L20:Q20" si="6">L21</f>
        <v>0</v>
      </c>
      <c r="M20" s="200">
        <f t="shared" si="6"/>
        <v>0</v>
      </c>
      <c r="N20" s="200">
        <f t="shared" si="6"/>
        <v>0</v>
      </c>
      <c r="O20" s="200">
        <f t="shared" si="6"/>
        <v>0</v>
      </c>
      <c r="P20" s="200">
        <f t="shared" si="6"/>
        <v>0</v>
      </c>
      <c r="Q20" s="200">
        <f t="shared" si="6"/>
        <v>0</v>
      </c>
      <c r="R20" s="202"/>
      <c r="S20" s="26"/>
    </row>
    <row r="21" spans="1:19" ht="21.6" customHeight="1" x14ac:dyDescent="0.2">
      <c r="B21" s="7"/>
      <c r="C21" s="7"/>
      <c r="D21" s="7"/>
      <c r="E21" s="7"/>
      <c r="F21" s="7"/>
      <c r="G21" s="7"/>
      <c r="H21" s="7"/>
      <c r="I21" s="85"/>
      <c r="J21" s="623"/>
      <c r="K21" s="97" t="s">
        <v>20</v>
      </c>
      <c r="L21" s="116">
        <v>0</v>
      </c>
      <c r="M21" s="116">
        <v>0</v>
      </c>
      <c r="N21" s="116">
        <v>0</v>
      </c>
      <c r="O21" s="116">
        <v>0</v>
      </c>
      <c r="P21" s="116">
        <v>0</v>
      </c>
      <c r="Q21" s="116">
        <v>0</v>
      </c>
      <c r="R21" s="48" t="s">
        <v>197</v>
      </c>
      <c r="S21" s="26"/>
    </row>
    <row r="22" spans="1:19" ht="21.6" customHeight="1" x14ac:dyDescent="0.2">
      <c r="B22" s="7"/>
      <c r="C22" s="7"/>
      <c r="D22" s="7"/>
      <c r="E22" s="7"/>
      <c r="F22" s="7"/>
      <c r="G22" s="7"/>
      <c r="H22" s="7"/>
      <c r="J22" s="623" t="s">
        <v>168</v>
      </c>
      <c r="K22" s="92" t="s">
        <v>76</v>
      </c>
      <c r="L22" s="200">
        <f t="shared" ref="L22:Q22" si="7">SUM(L23:L24)</f>
        <v>0</v>
      </c>
      <c r="M22" s="200">
        <f t="shared" si="7"/>
        <v>0</v>
      </c>
      <c r="N22" s="200">
        <f t="shared" si="7"/>
        <v>0</v>
      </c>
      <c r="O22" s="200">
        <f t="shared" si="7"/>
        <v>1</v>
      </c>
      <c r="P22" s="200">
        <f t="shared" si="7"/>
        <v>5</v>
      </c>
      <c r="Q22" s="200">
        <f t="shared" si="7"/>
        <v>0</v>
      </c>
      <c r="R22" s="120"/>
      <c r="S22" s="26"/>
    </row>
    <row r="23" spans="1:19" ht="21.6" customHeight="1" x14ac:dyDescent="0.2">
      <c r="B23" s="7"/>
      <c r="C23" s="7"/>
      <c r="D23" s="7"/>
      <c r="E23" s="7"/>
      <c r="F23" s="7"/>
      <c r="G23" s="7"/>
      <c r="H23" s="7"/>
      <c r="I23" s="85"/>
      <c r="J23" s="623"/>
      <c r="K23" s="97" t="s">
        <v>169</v>
      </c>
      <c r="L23" s="116">
        <v>0</v>
      </c>
      <c r="M23" s="116">
        <v>0</v>
      </c>
      <c r="N23" s="116">
        <v>0</v>
      </c>
      <c r="O23" s="116">
        <v>0</v>
      </c>
      <c r="P23" s="116">
        <v>1</v>
      </c>
      <c r="Q23" s="116">
        <v>0</v>
      </c>
      <c r="R23" s="48" t="s">
        <v>197</v>
      </c>
      <c r="S23" s="26"/>
    </row>
    <row r="24" spans="1:19" ht="21.6" customHeight="1" x14ac:dyDescent="0.2">
      <c r="B24" s="7"/>
      <c r="C24" s="7"/>
      <c r="D24" s="7"/>
      <c r="E24" s="7"/>
      <c r="F24" s="7"/>
      <c r="G24" s="7"/>
      <c r="H24" s="7"/>
      <c r="J24" s="623"/>
      <c r="K24" s="97" t="s">
        <v>14</v>
      </c>
      <c r="L24" s="116">
        <v>0</v>
      </c>
      <c r="M24" s="116">
        <v>0</v>
      </c>
      <c r="N24" s="116">
        <v>0</v>
      </c>
      <c r="O24" s="116">
        <v>1</v>
      </c>
      <c r="P24" s="116">
        <v>4</v>
      </c>
      <c r="Q24" s="116">
        <v>0</v>
      </c>
      <c r="R24" s="48" t="s">
        <v>197</v>
      </c>
      <c r="S24" s="26"/>
    </row>
    <row r="25" spans="1:19" ht="21.6" customHeight="1" x14ac:dyDescent="0.2">
      <c r="B25" s="7"/>
      <c r="C25" s="7"/>
      <c r="D25" s="7"/>
      <c r="E25" s="7"/>
      <c r="F25" s="7"/>
      <c r="G25" s="7"/>
      <c r="H25" s="7"/>
      <c r="I25" s="85"/>
      <c r="J25" s="42" t="s">
        <v>170</v>
      </c>
      <c r="K25" s="92" t="s">
        <v>90</v>
      </c>
      <c r="L25" s="200">
        <f t="shared" ref="L25:Q25" si="8">SUM(L5,L8,L10,L14,L16,L18,L20,L22)</f>
        <v>0</v>
      </c>
      <c r="M25" s="200">
        <f t="shared" si="8"/>
        <v>0</v>
      </c>
      <c r="N25" s="200">
        <f t="shared" si="8"/>
        <v>0</v>
      </c>
      <c r="O25" s="200">
        <f t="shared" si="8"/>
        <v>5</v>
      </c>
      <c r="P25" s="200">
        <f t="shared" si="8"/>
        <v>9</v>
      </c>
      <c r="Q25" s="200">
        <f t="shared" si="8"/>
        <v>0</v>
      </c>
      <c r="R25" s="120"/>
      <c r="S25" s="26"/>
    </row>
    <row r="26" spans="1:19" ht="33.200000000000003" customHeight="1" x14ac:dyDescent="0.2">
      <c r="A26" s="7"/>
      <c r="B26" s="7"/>
      <c r="C26" s="7"/>
      <c r="D26" s="7"/>
      <c r="E26" s="7"/>
      <c r="F26" s="7"/>
      <c r="G26" s="7"/>
      <c r="H26" s="7"/>
      <c r="J26" s="563" t="s">
        <v>399</v>
      </c>
      <c r="K26" s="563"/>
      <c r="L26" s="563"/>
      <c r="M26" s="563"/>
      <c r="N26" s="563"/>
      <c r="O26" s="563"/>
      <c r="P26" s="563"/>
      <c r="Q26" s="563"/>
      <c r="R26" s="563"/>
    </row>
    <row r="27" spans="1:19" ht="21.6" customHeight="1" x14ac:dyDescent="0.2">
      <c r="B27" s="7"/>
      <c r="C27" s="7"/>
      <c r="D27" s="7"/>
      <c r="E27" s="7"/>
      <c r="F27" s="7"/>
      <c r="G27" s="7"/>
      <c r="H27" s="7"/>
      <c r="I27" s="7"/>
      <c r="J27" s="34"/>
    </row>
    <row r="28" spans="1:19" ht="21.6" customHeight="1" x14ac:dyDescent="0.2">
      <c r="B28" s="7"/>
      <c r="C28" s="7"/>
      <c r="D28" s="7"/>
      <c r="E28" s="7"/>
      <c r="F28" s="7"/>
      <c r="G28" s="7"/>
      <c r="H28" s="7"/>
      <c r="I28" s="7"/>
      <c r="J28" s="34"/>
    </row>
    <row r="29" spans="1:19" ht="21.6" customHeight="1" x14ac:dyDescent="0.2">
      <c r="A29" s="7"/>
      <c r="B29" s="7"/>
      <c r="C29" s="7"/>
      <c r="D29" s="7"/>
      <c r="E29" s="7"/>
      <c r="F29" s="7"/>
      <c r="G29" s="7"/>
      <c r="H29" s="7"/>
      <c r="J29" s="23"/>
    </row>
    <row r="30" spans="1:19" ht="54.2" customHeight="1" x14ac:dyDescent="0.2">
      <c r="A30" s="7"/>
      <c r="J30" s="23"/>
    </row>
    <row r="31" spans="1:19" ht="15" customHeight="1" x14ac:dyDescent="0.2"/>
    <row r="32" spans="1:1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sheetData>
  <sheetProtection algorithmName="SHA-512" hashValue="wtxGRhOZKYgqYaM7iTI+edLHFVrD00UOfdxHzkkWYD156Nhd75VfVQItgcmxvtsEDopT+3PW+TzXoWt4mZmohw==" saltValue="siOfZyNgKbe1Xx1yFYXYIg==" spinCount="100000" sheet="1" objects="1" scenarios="1"/>
  <mergeCells count="9">
    <mergeCell ref="J8:J15"/>
    <mergeCell ref="J26:R26"/>
    <mergeCell ref="J22:J24"/>
    <mergeCell ref="J16:J21"/>
    <mergeCell ref="A1:E1"/>
    <mergeCell ref="A4:B4"/>
    <mergeCell ref="A5:B5"/>
    <mergeCell ref="A6:G6"/>
    <mergeCell ref="J5: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ABOUT THE ESG DATA TABLES</vt:lpstr>
      <vt:lpstr>Compliance-Significant Events</vt:lpstr>
      <vt:lpstr>Ethics-Anti-Corruption</vt:lpstr>
      <vt:lpstr>Policy Influence</vt:lpstr>
      <vt:lpstr>Air Quality</vt:lpstr>
      <vt:lpstr>Biodiversity</vt:lpstr>
      <vt:lpstr>Climate Change</vt:lpstr>
      <vt:lpstr>Closure and Reclamation</vt:lpstr>
      <vt:lpstr>Cyanide Management</vt:lpstr>
      <vt:lpstr>Environmental Expenditures</vt:lpstr>
      <vt:lpstr>Materials Consumption</vt:lpstr>
      <vt:lpstr>Spills and Releases</vt:lpstr>
      <vt:lpstr>Tailings Management</vt:lpstr>
      <vt:lpstr>Water Stewardship</vt:lpstr>
      <vt:lpstr>Waste</vt:lpstr>
      <vt:lpstr>COVID H&amp;S Stats</vt:lpstr>
      <vt:lpstr>Emergency Preparedness</vt:lpstr>
      <vt:lpstr>Safety and Health</vt:lpstr>
      <vt:lpstr>ASM</vt:lpstr>
      <vt:lpstr>Community Development</vt:lpstr>
      <vt:lpstr>Community Impacts</vt:lpstr>
      <vt:lpstr>Complaints and Grievances</vt:lpstr>
      <vt:lpstr>HumRts-Assessments</vt:lpstr>
      <vt:lpstr>HumRts-Supplier Screening</vt:lpstr>
      <vt:lpstr>HumRts-Training-Security</vt:lpstr>
      <vt:lpstr>HumRts-Training-Workforce</vt:lpstr>
      <vt:lpstr>HumRts-Indigenous Peoples</vt:lpstr>
      <vt:lpstr>Land or Resource Use Disputes</vt:lpstr>
      <vt:lpstr>Resettlement</vt:lpstr>
      <vt:lpstr>SIA and Engagement</vt:lpstr>
      <vt:lpstr>COVID Global Fund</vt:lpstr>
      <vt:lpstr>Community Investments</vt:lpstr>
      <vt:lpstr>Economic Value Gen-Distri</vt:lpstr>
      <vt:lpstr>Supply Chain Spending</vt:lpstr>
      <vt:lpstr>Tax Transparency</vt:lpstr>
      <vt:lpstr>Overview Workforce Demograph</vt:lpstr>
      <vt:lpstr>Compensation and Equal Remunera</vt:lpstr>
      <vt:lpstr>Diversity and Inclusion</vt:lpstr>
      <vt:lpstr>Labor-Mgmt Relations</vt:lpstr>
      <vt:lpstr>Talent Attraction and Retention</vt:lpstr>
      <vt:lpstr>Training and Professional Devel</vt:lpstr>
      <vt:lpstr>2020 Normalizing Denominators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Abigail Lawes</cp:lastModifiedBy>
  <cp:revision>2</cp:revision>
  <dcterms:created xsi:type="dcterms:W3CDTF">2021-05-31T17:32:59Z</dcterms:created>
  <dcterms:modified xsi:type="dcterms:W3CDTF">2021-07-13T15:33:59Z</dcterms:modified>
  <cp:contentStatus/>
</cp:coreProperties>
</file>