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orpshare.ecolab.com\grps\Finance\FRPSHARE\Public Reporting\Earnings Release\2021\Q4 2021\Published Statements\Published Files\"/>
    </mc:Choice>
  </mc:AlternateContent>
  <xr:revisionPtr revIDLastSave="0" documentId="13_ncr:1_{AAAABB39-CC7F-48EB-BCDF-B1E922A37D62}" xr6:coauthVersionLast="47" xr6:coauthVersionMax="47" xr10:uidLastSave="{00000000-0000-0000-0000-000000000000}"/>
  <bookViews>
    <workbookView xWindow="-120" yWindow="-120" windowWidth="29040" windowHeight="15840" xr2:uid="{00000000-000D-0000-FFFF-FFFF00000000}"/>
  </bookViews>
  <sheets>
    <sheet name="Statement of Income" sheetId="1" r:id="rId1"/>
  </sheets>
  <externalReferences>
    <externalReference r:id="rId2"/>
  </externalReferences>
  <definedNames>
    <definedName name="CY">[1]DateTemplate!$D$3</definedName>
    <definedName name="_xlnm.Print_Area" localSheetId="0">'Statement of Income'!$A$1:$L$56</definedName>
    <definedName name="PY">[1]DateTemplate!$B$8</definedName>
    <definedName name="SecondPY">[1]DateTemplate!$B$9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 l="1"/>
  <c r="G31" i="1"/>
  <c r="F31" i="1"/>
  <c r="E31" i="1"/>
  <c r="D31" i="1"/>
  <c r="C31" i="1"/>
  <c r="B31" i="1"/>
  <c r="B11" i="1"/>
  <c r="B15" i="1" l="1"/>
  <c r="B39" i="1"/>
  <c r="B38" i="1"/>
  <c r="B18" i="1"/>
  <c r="B52" i="1" s="1"/>
  <c r="B40" i="1" l="1"/>
  <c r="B51" i="1"/>
  <c r="B43" i="1"/>
  <c r="B41" i="1"/>
  <c r="B20" i="1"/>
  <c r="B22" i="1" s="1"/>
  <c r="B44" i="1" s="1"/>
  <c r="B53" i="1" l="1"/>
  <c r="B42" i="1"/>
  <c r="B24" i="1"/>
  <c r="C11" i="1" l="1"/>
  <c r="C39" i="1" s="1"/>
  <c r="C15" i="1" l="1"/>
  <c r="C51" i="1" s="1"/>
  <c r="C38" i="1"/>
  <c r="D11" i="1"/>
  <c r="D39" i="1" s="1"/>
  <c r="C40" i="1" l="1"/>
  <c r="C18" i="1"/>
  <c r="D15" i="1"/>
  <c r="D51" i="1" s="1"/>
  <c r="D38" i="1"/>
  <c r="C52" i="1" l="1"/>
  <c r="C43" i="1"/>
  <c r="C20" i="1"/>
  <c r="C22" i="1" s="1"/>
  <c r="C41" i="1"/>
  <c r="D18" i="1"/>
  <c r="D52" i="1" s="1"/>
  <c r="D40" i="1"/>
  <c r="C53" i="1" l="1"/>
  <c r="C44" i="1"/>
  <c r="C42" i="1"/>
  <c r="C24" i="1"/>
  <c r="D43" i="1"/>
  <c r="D41" i="1"/>
  <c r="D20" i="1"/>
  <c r="D22" i="1" s="1"/>
  <c r="D53" i="1" l="1"/>
  <c r="D44" i="1"/>
  <c r="D42" i="1"/>
  <c r="D24" i="1"/>
  <c r="G9" i="1" l="1"/>
  <c r="G11" i="1" s="1"/>
  <c r="G15" i="1" s="1"/>
  <c r="F11" i="1"/>
  <c r="F15" i="1" s="1"/>
  <c r="F51" i="1" s="1"/>
  <c r="H11" i="1"/>
  <c r="H39" i="1" s="1"/>
  <c r="I11" i="1"/>
  <c r="I38" i="1" s="1"/>
  <c r="J11" i="1"/>
  <c r="J38" i="1" s="1"/>
  <c r="K11" i="1"/>
  <c r="K15" i="1" s="1"/>
  <c r="L11" i="1"/>
  <c r="L39" i="1" s="1"/>
  <c r="K18" i="1" l="1"/>
  <c r="K52" i="1" s="1"/>
  <c r="K51" i="1"/>
  <c r="G18" i="1"/>
  <c r="G52" i="1" s="1"/>
  <c r="G51" i="1"/>
  <c r="J39" i="1"/>
  <c r="H38" i="1"/>
  <c r="L15" i="1"/>
  <c r="L51" i="1" s="1"/>
  <c r="L38" i="1"/>
  <c r="H15" i="1"/>
  <c r="H51" i="1" s="1"/>
  <c r="K38" i="1"/>
  <c r="J15" i="1"/>
  <c r="F39" i="1"/>
  <c r="K39" i="1"/>
  <c r="G39" i="1"/>
  <c r="G38" i="1"/>
  <c r="F38" i="1"/>
  <c r="F40" i="1"/>
  <c r="F18" i="1"/>
  <c r="F52" i="1" s="1"/>
  <c r="G41" i="1"/>
  <c r="G43" i="1"/>
  <c r="G20" i="1"/>
  <c r="K40" i="1"/>
  <c r="G40" i="1"/>
  <c r="I39" i="1"/>
  <c r="I15" i="1"/>
  <c r="K20" i="1" l="1"/>
  <c r="K43" i="1"/>
  <c r="K41" i="1"/>
  <c r="I18" i="1"/>
  <c r="I52" i="1" s="1"/>
  <c r="I51" i="1"/>
  <c r="J40" i="1"/>
  <c r="J51" i="1"/>
  <c r="J18" i="1"/>
  <c r="J52" i="1" s="1"/>
  <c r="H18" i="1"/>
  <c r="H52" i="1" s="1"/>
  <c r="H40" i="1"/>
  <c r="L18" i="1"/>
  <c r="L52" i="1" s="1"/>
  <c r="L40" i="1"/>
  <c r="F41" i="1"/>
  <c r="F20" i="1"/>
  <c r="F43" i="1"/>
  <c r="I40" i="1"/>
  <c r="K22" i="1"/>
  <c r="K53" i="1" s="1"/>
  <c r="G22" i="1"/>
  <c r="G44" i="1" l="1"/>
  <c r="G42" i="1"/>
  <c r="G24" i="1"/>
  <c r="G53" i="1"/>
  <c r="J20" i="1"/>
  <c r="J22" i="1" s="1"/>
  <c r="J42" i="1" s="1"/>
  <c r="J43" i="1"/>
  <c r="J41" i="1"/>
  <c r="K44" i="1"/>
  <c r="K24" i="1"/>
  <c r="L20" i="1"/>
  <c r="L22" i="1" s="1"/>
  <c r="L43" i="1"/>
  <c r="L41" i="1"/>
  <c r="H20" i="1"/>
  <c r="H22" i="1" s="1"/>
  <c r="H43" i="1"/>
  <c r="H41" i="1"/>
  <c r="J27" i="1"/>
  <c r="J31" i="1" s="1"/>
  <c r="F22" i="1"/>
  <c r="I20" i="1"/>
  <c r="I41" i="1"/>
  <c r="I43" i="1"/>
  <c r="K27" i="1"/>
  <c r="K31" i="1" s="1"/>
  <c r="K42" i="1"/>
  <c r="F44" i="1" l="1"/>
  <c r="F42" i="1"/>
  <c r="H44" i="1"/>
  <c r="H42" i="1"/>
  <c r="J24" i="1"/>
  <c r="J53" i="1"/>
  <c r="F24" i="1"/>
  <c r="F53" i="1"/>
  <c r="L24" i="1"/>
  <c r="L53" i="1"/>
  <c r="J44" i="1"/>
  <c r="H24" i="1"/>
  <c r="H53" i="1"/>
  <c r="L44" i="1"/>
  <c r="L27" i="1"/>
  <c r="L31" i="1" s="1"/>
  <c r="L42" i="1"/>
  <c r="I22" i="1"/>
  <c r="I53" i="1" s="1"/>
  <c r="I44" i="1" l="1"/>
  <c r="I24" i="1"/>
  <c r="I42" i="1"/>
  <c r="I27" i="1"/>
  <c r="I31" i="1" s="1"/>
  <c r="E11" i="1" l="1"/>
  <c r="E39" i="1" l="1"/>
  <c r="E38" i="1"/>
  <c r="E15" i="1"/>
  <c r="E51" i="1" s="1"/>
  <c r="E40" i="1" l="1"/>
  <c r="E18" i="1"/>
  <c r="E20" i="1" l="1"/>
  <c r="E52" i="1"/>
  <c r="E41" i="1"/>
  <c r="E43" i="1"/>
  <c r="E22" i="1"/>
  <c r="E44" i="1" l="1"/>
  <c r="E42" i="1"/>
  <c r="E24" i="1"/>
  <c r="E53" i="1"/>
</calcChain>
</file>

<file path=xl/sharedStrings.xml><?xml version="1.0" encoding="utf-8"?>
<sst xmlns="http://schemas.openxmlformats.org/spreadsheetml/2006/main" count="77" uniqueCount="73">
  <si>
    <t>STATEMENT OF INCOME INFORMATION</t>
  </si>
  <si>
    <t>ECOLAB INC.</t>
  </si>
  <si>
    <t>Operations</t>
  </si>
  <si>
    <t>Net sales</t>
  </si>
  <si>
    <t xml:space="preserve">  International</t>
  </si>
  <si>
    <t xml:space="preserve">    Total</t>
  </si>
  <si>
    <t>Operating income</t>
  </si>
  <si>
    <t>Provision for income taxes</t>
  </si>
  <si>
    <t>Average common shares outstanding - basic</t>
  </si>
  <si>
    <t>Average common shares outstanding - diluted</t>
  </si>
  <si>
    <t>Selected Income Statement Measures</t>
  </si>
  <si>
    <t>Income statement ratios</t>
  </si>
  <si>
    <t xml:space="preserve">  Selling, general and administrative expenses</t>
  </si>
  <si>
    <t xml:space="preserve">  Operating income</t>
  </si>
  <si>
    <t xml:space="preserve">  Effective income tax rate</t>
  </si>
  <si>
    <t xml:space="preserve">  Return on beginning equity</t>
  </si>
  <si>
    <t>Other Information</t>
  </si>
  <si>
    <t>Annual common stock price range</t>
  </si>
  <si>
    <t>Number of employees</t>
  </si>
  <si>
    <t>Special (gains) and charges</t>
  </si>
  <si>
    <t xml:space="preserve">Notes: </t>
  </si>
  <si>
    <t>$58.13 - 43.81</t>
  </si>
  <si>
    <r>
      <t xml:space="preserve">  United States </t>
    </r>
    <r>
      <rPr>
        <vertAlign val="superscript"/>
        <sz val="10"/>
        <rFont val="Arial"/>
        <family val="2"/>
      </rPr>
      <t>(1)</t>
    </r>
  </si>
  <si>
    <r>
      <t>(1)</t>
    </r>
    <r>
      <rPr>
        <sz val="10"/>
        <rFont val="Arial"/>
        <family val="2"/>
      </rPr>
      <t xml:space="preserve"> U.S. net sales includes special (gains) and charges of $29.6 in 2011.</t>
    </r>
  </si>
  <si>
    <t>$72.79 - 57.44</t>
  </si>
  <si>
    <t>Income before income taxes</t>
  </si>
  <si>
    <t xml:space="preserve">  Income before income taxes</t>
  </si>
  <si>
    <t>$108.34 - 71.99</t>
  </si>
  <si>
    <r>
      <t xml:space="preserve">Cost of sales (including special (gains) and charges </t>
    </r>
    <r>
      <rPr>
        <vertAlign val="superscript"/>
        <sz val="10"/>
        <rFont val="Arial"/>
        <family val="2"/>
      </rPr>
      <t>(2)(3)</t>
    </r>
    <r>
      <rPr>
        <sz val="10"/>
        <rFont val="Arial"/>
        <family val="2"/>
      </rPr>
      <t>)</t>
    </r>
  </si>
  <si>
    <r>
      <t>Selling, general and administrative expenses</t>
    </r>
    <r>
      <rPr>
        <vertAlign val="superscript"/>
        <sz val="10"/>
        <rFont val="Arial"/>
        <family val="2"/>
      </rPr>
      <t xml:space="preserve"> (3)</t>
    </r>
  </si>
  <si>
    <r>
      <t>(3)</t>
    </r>
    <r>
      <rPr>
        <sz val="10"/>
        <rFont val="Arial"/>
        <family val="2"/>
      </rPr>
      <t xml:space="preserve"> Effective in the first quarter of 2014, certain employee related costs from the company's recently acquired businesses that were historically presented within cost of sales were </t>
    </r>
  </si>
  <si>
    <t xml:space="preserve"> revised and reclassified to SG&amp;A. These immaterial revisions were made to conform with management's view of the respective costs within the global organizational model.</t>
  </si>
  <si>
    <t xml:space="preserve">  Gross margin</t>
  </si>
  <si>
    <t>$118.46 - 97.65</t>
  </si>
  <si>
    <t>Total costs reclassified were $78.9 and $98.1 in 2013 and 2012, respectively.</t>
  </si>
  <si>
    <t>$122.48-97.78</t>
  </si>
  <si>
    <t>(unaudited)</t>
  </si>
  <si>
    <t>$124.60-98.62</t>
  </si>
  <si>
    <t>$137.96-117.29</t>
  </si>
  <si>
    <t>$162.91-125.74</t>
  </si>
  <si>
    <t>Diluted earnings per common share, as reported (U.S. GAAP)</t>
  </si>
  <si>
    <t>Adjustments:</t>
  </si>
  <si>
    <t>Discrete tax expense (benefits)</t>
  </si>
  <si>
    <r>
      <t xml:space="preserve">Results for years earlier than 2016 are not presented on a comparable basis due to the adoption of ASU 2014-09, </t>
    </r>
    <r>
      <rPr>
        <i/>
        <sz val="10"/>
        <rFont val="Arial"/>
        <family val="2"/>
      </rPr>
      <t xml:space="preserve">Revenue from Contracts with Customers. </t>
    </r>
  </si>
  <si>
    <t xml:space="preserve">Per share amounts do not necessarily sum due to rounding. </t>
  </si>
  <si>
    <t>Diluted earnings per common share, as adjusted (Non-GAAP)</t>
  </si>
  <si>
    <t>2017: Anios</t>
  </si>
  <si>
    <t>2013: Champion Technologies</t>
  </si>
  <si>
    <t>2011: Nalco</t>
  </si>
  <si>
    <r>
      <t>Acquisitions:</t>
    </r>
    <r>
      <rPr>
        <sz val="10"/>
        <color theme="1"/>
        <rFont val="Arial"/>
        <family val="2"/>
      </rPr>
      <t xml:space="preserve"> We continue to invest in our business, the following acquisitions significantly impact the comparability of certain financial data to prior years. </t>
    </r>
  </si>
  <si>
    <t>$209.87-141.30</t>
  </si>
  <si>
    <t>$231.36-124.60</t>
  </si>
  <si>
    <r>
      <t>(6)</t>
    </r>
    <r>
      <rPr>
        <sz val="10"/>
        <rFont val="Arial"/>
        <family val="2"/>
      </rPr>
      <t xml:space="preserve"> Net income attributable to noncontrolling interest  includes special gains and charges of $12.8 in 2015, $0.5 in 2013 and $4.5 in 2012.</t>
    </r>
  </si>
  <si>
    <t>Net income from continuing operations, including noncontrolling interest</t>
  </si>
  <si>
    <r>
      <t xml:space="preserve">Other (income) expense </t>
    </r>
    <r>
      <rPr>
        <vertAlign val="superscript"/>
        <sz val="10"/>
        <rFont val="Arial"/>
        <family val="2"/>
      </rPr>
      <t>(4)</t>
    </r>
  </si>
  <si>
    <r>
      <t xml:space="preserve">Interest expense, net </t>
    </r>
    <r>
      <rPr>
        <vertAlign val="superscript"/>
        <sz val="10"/>
        <rFont val="Arial"/>
        <family val="2"/>
      </rPr>
      <t>(5)</t>
    </r>
  </si>
  <si>
    <t>Net income from continuing operations attributable to Ecolab</t>
  </si>
  <si>
    <r>
      <t xml:space="preserve">Net income from continuing operations attributable to noncontrolling interest </t>
    </r>
    <r>
      <rPr>
        <vertAlign val="superscript"/>
        <sz val="10"/>
        <rFont val="Arial"/>
        <family val="2"/>
      </rPr>
      <t>(6)</t>
    </r>
  </si>
  <si>
    <t>Impact of Purolite on adjusted earnings per share</t>
  </si>
  <si>
    <t>$238.93-201.15</t>
  </si>
  <si>
    <r>
      <t>(4)</t>
    </r>
    <r>
      <rPr>
        <sz val="10"/>
        <rFont val="Arial"/>
        <family val="2"/>
      </rPr>
      <t xml:space="preserve"> Other (income) expense includes special (gains) charges of $37.2 in 2021, $0.4 in 2020 and $9.5 in 2019.</t>
    </r>
  </si>
  <si>
    <r>
      <t>(5)</t>
    </r>
    <r>
      <rPr>
        <sz val="10"/>
        <rFont val="Arial"/>
        <family val="2"/>
      </rPr>
      <t xml:space="preserve"> Interest expense, net includes special (gains) and charges of $33.1 in 2021, $83.8 in 2020, $0.2 in 2019, $0.3 in 2018, $21.9 in 2017, $2.5 in 2013, $19.3 in 2012 and $1.5 in 2011.</t>
    </r>
  </si>
  <si>
    <r>
      <t xml:space="preserve">Net income (loss) from discontinued operations, net of tax </t>
    </r>
    <r>
      <rPr>
        <vertAlign val="superscript"/>
        <sz val="10"/>
        <rFont val="Arial"/>
        <family val="2"/>
      </rPr>
      <t xml:space="preserve">(7) </t>
    </r>
  </si>
  <si>
    <t>Net income (loss) attributable to Ecolab</t>
  </si>
  <si>
    <t>2021: Purolite</t>
  </si>
  <si>
    <r>
      <rPr>
        <vertAlign val="superscript"/>
        <sz val="10"/>
        <rFont val="Arial"/>
        <family val="2"/>
      </rPr>
      <t>(7)</t>
    </r>
    <r>
      <rPr>
        <sz val="10"/>
        <rFont val="Arial"/>
        <family val="2"/>
      </rPr>
      <t xml:space="preserve"> Net income (loss) from discontinued operations, net of tax includes noncontrolling interest of $2.2 in 2020 and $(4.4) in 2018.</t>
    </r>
  </si>
  <si>
    <t xml:space="preserve">The ChampionX business met the criteria to be reported as discontinued operations in 2020. Therefore, the historical results of ChampionX were retrospectively reclassified to discontinued operations for the years 2020, 2019, 2018, and 2017. Results for years earlier </t>
  </si>
  <si>
    <t xml:space="preserve">than 2017 are not presented on a comparable basis as these results have not been recast for discontinued operations. </t>
  </si>
  <si>
    <t xml:space="preserve">  Net income from continuing operations attributable to Ecolab</t>
  </si>
  <si>
    <r>
      <t>(2)</t>
    </r>
    <r>
      <rPr>
        <sz val="10"/>
        <rFont val="Arial"/>
        <family val="2"/>
      </rPr>
      <t xml:space="preserve"> Cost of sales includes special (gains) and charges of $93.9 in 2021, $48.2 in 2020, $38.5 in 2019, $4.8 in 2018, $17.8 in 2017, $66.0 in 2016, $80.6 in 2015, $14.3 in 2014, $43.2 in 2013, $93.9 in 2012, $8.9 in 2011.</t>
    </r>
  </si>
  <si>
    <r>
      <t xml:space="preserve">Adjusted </t>
    </r>
    <r>
      <rPr>
        <b/>
        <vertAlign val="superscript"/>
        <sz val="10"/>
        <rFont val="Arial"/>
        <family val="2"/>
      </rPr>
      <t xml:space="preserve">(8) </t>
    </r>
  </si>
  <si>
    <r>
      <rPr>
        <vertAlign val="superscript"/>
        <sz val="10"/>
        <rFont val="Arial"/>
        <family val="2"/>
      </rPr>
      <t>(8)</t>
    </r>
    <r>
      <rPr>
        <sz val="10"/>
        <rFont val="Arial"/>
        <family val="2"/>
      </rPr>
      <t xml:space="preserve"> 2021 adjusted results exclude the impact of the Purolite transaction, including operating results, acquisition-related amortization, and interest expense related to the transaction.</t>
    </r>
  </si>
  <si>
    <t>Year ended December 31 (millions, except per share and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</si>
</sst>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0.0%"/>
  </numFmts>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i/>
      <sz val="10"/>
      <name val="Arial"/>
      <family val="2"/>
    </font>
    <font>
      <vertAlign val="superscript"/>
      <sz val="10"/>
      <name val="Arial"/>
      <family val="2"/>
    </font>
    <font>
      <sz val="10"/>
      <color theme="1"/>
      <name val="Arial"/>
      <family val="2"/>
    </font>
    <font>
      <b/>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11">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0" fontId="3" fillId="0" borderId="0"/>
    <xf numFmtId="0" fontId="2" fillId="0" borderId="0"/>
    <xf numFmtId="43" fontId="5" fillId="0" borderId="0" applyFont="0" applyFill="0" applyBorder="0" applyAlignment="0" applyProtection="0"/>
    <xf numFmtId="0" fontId="1" fillId="0" borderId="0"/>
    <xf numFmtId="43" fontId="5" fillId="0" borderId="0" applyFont="0" applyFill="0" applyBorder="0" applyAlignment="0" applyProtection="0"/>
  </cellStyleXfs>
  <cellXfs count="58">
    <xf numFmtId="0" fontId="0" fillId="0" borderId="0" xfId="0"/>
    <xf numFmtId="0" fontId="0" fillId="0" borderId="0" xfId="0" applyFill="1"/>
    <xf numFmtId="165" fontId="0" fillId="0" borderId="0" xfId="0" applyNumberFormat="1" applyFill="1"/>
    <xf numFmtId="43" fontId="5" fillId="0" borderId="0" xfId="1" applyNumberFormat="1" applyFill="1"/>
    <xf numFmtId="41" fontId="5" fillId="0" borderId="0" xfId="1" applyNumberFormat="1" applyFill="1"/>
    <xf numFmtId="0" fontId="5" fillId="0" borderId="0" xfId="0" applyFont="1" applyFill="1"/>
    <xf numFmtId="0" fontId="8" fillId="0" borderId="0" xfId="0" applyFont="1" applyFill="1"/>
    <xf numFmtId="0" fontId="7" fillId="0" borderId="0" xfId="0" applyFont="1" applyFill="1"/>
    <xf numFmtId="0" fontId="7" fillId="0" borderId="1" xfId="0" applyFont="1" applyFill="1" applyBorder="1" applyAlignment="1">
      <alignment horizontal="center"/>
    </xf>
    <xf numFmtId="164" fontId="5" fillId="0" borderId="0" xfId="1" applyNumberFormat="1" applyFont="1" applyFill="1"/>
    <xf numFmtId="0" fontId="7" fillId="0" borderId="1" xfId="0" applyFont="1" applyFill="1" applyBorder="1"/>
    <xf numFmtId="0" fontId="7" fillId="0" borderId="0" xfId="0" applyFont="1" applyFill="1" applyBorder="1"/>
    <xf numFmtId="166" fontId="5" fillId="0" borderId="0" xfId="2" applyNumberFormat="1" applyFont="1" applyFill="1"/>
    <xf numFmtId="164" fontId="5" fillId="0" borderId="1" xfId="1" applyNumberFormat="1" applyFont="1" applyFill="1" applyBorder="1"/>
    <xf numFmtId="164" fontId="5" fillId="0" borderId="0" xfId="1" applyNumberFormat="1" applyFill="1"/>
    <xf numFmtId="164" fontId="5" fillId="0" borderId="1" xfId="1" applyNumberFormat="1" applyFill="1" applyBorder="1"/>
    <xf numFmtId="44" fontId="5" fillId="0" borderId="0" xfId="2" applyNumberFormat="1" applyFont="1" applyFill="1"/>
    <xf numFmtId="167" fontId="5" fillId="0" borderId="0" xfId="3" applyNumberFormat="1" applyFill="1"/>
    <xf numFmtId="167" fontId="5" fillId="0" borderId="0" xfId="3" applyNumberFormat="1" applyFont="1" applyFill="1"/>
    <xf numFmtId="0" fontId="8" fillId="0" borderId="0" xfId="0" applyFont="1" applyFill="1" applyAlignment="1">
      <alignment horizontal="right"/>
    </xf>
    <xf numFmtId="165" fontId="5" fillId="0" borderId="0" xfId="1" applyNumberFormat="1" applyFont="1" applyFill="1"/>
    <xf numFmtId="0" fontId="0" fillId="0" borderId="0" xfId="0" applyFill="1" applyAlignment="1">
      <alignment horizontal="left" indent="1"/>
    </xf>
    <xf numFmtId="0" fontId="0" fillId="0" borderId="1" xfId="0" applyFill="1" applyBorder="1"/>
    <xf numFmtId="0" fontId="5" fillId="0" borderId="1" xfId="0" applyFont="1" applyFill="1" applyBorder="1"/>
    <xf numFmtId="0" fontId="0" fillId="0" borderId="2" xfId="0" applyFill="1" applyBorder="1"/>
    <xf numFmtId="165" fontId="5" fillId="0" borderId="0" xfId="1" applyNumberFormat="1" applyFont="1" applyFill="1" applyAlignment="1">
      <alignment horizontal="right"/>
    </xf>
    <xf numFmtId="0" fontId="5" fillId="0" borderId="0" xfId="0" applyFont="1" applyFill="1" applyAlignment="1">
      <alignment horizontal="right"/>
    </xf>
    <xf numFmtId="167" fontId="11" fillId="0" borderId="0" xfId="3" applyNumberFormat="1" applyFont="1" applyFill="1"/>
    <xf numFmtId="0" fontId="0" fillId="0" borderId="0" xfId="0" applyFont="1" applyFill="1" applyAlignment="1">
      <alignment horizontal="left" indent="1"/>
    </xf>
    <xf numFmtId="43" fontId="5" fillId="0" borderId="0" xfId="1" applyFont="1" applyFill="1"/>
    <xf numFmtId="43" fontId="5" fillId="0" borderId="0" xfId="1" applyFill="1"/>
    <xf numFmtId="0" fontId="7" fillId="0" borderId="0" xfId="0" applyFont="1"/>
    <xf numFmtId="0" fontId="7" fillId="0" borderId="1" xfId="0" applyFont="1" applyBorder="1" applyAlignment="1">
      <alignment horizontal="center"/>
    </xf>
    <xf numFmtId="164" fontId="5" fillId="0" borderId="0" xfId="1" applyNumberFormat="1"/>
    <xf numFmtId="166" fontId="5" fillId="0" borderId="2" xfId="2" applyNumberFormat="1" applyBorder="1"/>
    <xf numFmtId="165" fontId="0" fillId="0" borderId="0" xfId="0" applyNumberFormat="1"/>
    <xf numFmtId="44" fontId="5" fillId="0" borderId="0" xfId="2"/>
    <xf numFmtId="44" fontId="5" fillId="0" borderId="2" xfId="2" applyBorder="1"/>
    <xf numFmtId="41" fontId="5" fillId="0" borderId="0" xfId="1" applyNumberFormat="1"/>
    <xf numFmtId="167" fontId="5" fillId="0" borderId="0" xfId="3" applyNumberFormat="1"/>
    <xf numFmtId="0" fontId="5" fillId="0" borderId="0" xfId="0" applyFont="1"/>
    <xf numFmtId="0" fontId="5" fillId="0" borderId="0" xfId="0" applyFont="1" applyAlignment="1">
      <alignment horizontal="right"/>
    </xf>
    <xf numFmtId="165" fontId="5" fillId="0" borderId="0" xfId="1" applyNumberFormat="1" applyAlignment="1">
      <alignment horizontal="right"/>
    </xf>
    <xf numFmtId="166" fontId="5" fillId="0" borderId="0" xfId="2" applyNumberFormat="1" applyAlignment="1">
      <alignment horizontal="right"/>
    </xf>
    <xf numFmtId="0" fontId="10"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indent="1"/>
    </xf>
    <xf numFmtId="0" fontId="0" fillId="0" borderId="0" xfId="0" applyAlignment="1">
      <alignment horizontal="left" indent="1"/>
    </xf>
    <xf numFmtId="166" fontId="5" fillId="0" borderId="0" xfId="2" applyNumberFormat="1" applyFill="1"/>
    <xf numFmtId="44" fontId="5" fillId="0" borderId="0" xfId="2" applyFill="1"/>
    <xf numFmtId="165" fontId="5" fillId="0" borderId="0" xfId="1" applyNumberFormat="1" applyFill="1" applyAlignment="1">
      <alignment horizontal="right"/>
    </xf>
    <xf numFmtId="0" fontId="0" fillId="0" borderId="3" xfId="0" applyFill="1" applyBorder="1"/>
    <xf numFmtId="166" fontId="5" fillId="0" borderId="0" xfId="2" applyNumberFormat="1" applyFont="1" applyFill="1" applyAlignment="1">
      <alignment horizontal="right"/>
    </xf>
    <xf numFmtId="164" fontId="5" fillId="0" borderId="0" xfId="1" applyNumberFormat="1" applyFont="1" applyFill="1" applyAlignment="1">
      <alignment horizontal="right"/>
    </xf>
    <xf numFmtId="0" fontId="10" fillId="0" borderId="0" xfId="0" applyFont="1" applyAlignment="1">
      <alignment horizontal="left"/>
    </xf>
    <xf numFmtId="0" fontId="5" fillId="0" borderId="0" xfId="0" applyFont="1" applyAlignment="1">
      <alignment horizontal="left"/>
    </xf>
    <xf numFmtId="0" fontId="5" fillId="0" borderId="0" xfId="0" applyFont="1" applyAlignment="1">
      <alignment vertical="center"/>
    </xf>
    <xf numFmtId="0" fontId="10" fillId="0" borderId="0" xfId="0" applyFont="1" applyFill="1" applyAlignment="1"/>
  </cellXfs>
  <cellStyles count="11">
    <cellStyle name="Comma" xfId="1" builtinId="3"/>
    <cellStyle name="Comma 2" xfId="8" xr:uid="{055DA819-72D7-4195-BB5D-A57BC026FA9D}"/>
    <cellStyle name="Comma 2 2" xfId="10" xr:uid="{47189247-A0BB-4602-9C46-67BA80A5264D}"/>
    <cellStyle name="Currency" xfId="2" builtinId="4"/>
    <cellStyle name="Normal" xfId="0" builtinId="0"/>
    <cellStyle name="Normal 2" xfId="6" xr:uid="{4F5C26D6-5F6E-4E4E-BF1B-16424F67292F}"/>
    <cellStyle name="Normal 2 2" xfId="5" xr:uid="{37236CBA-B460-4C01-BB89-B5E1A9709494}"/>
    <cellStyle name="Normal 2 2 2" xfId="7" xr:uid="{813E5826-21EA-443E-B4EE-CFABE52D8F89}"/>
    <cellStyle name="Normal 2 2 2 2" xfId="9" xr:uid="{E963A17D-02D7-4A6E-A9F8-54A4FC894676}"/>
    <cellStyle name="Normal 3" xfId="4" xr:uid="{7962EED2-687A-473C-8849-991ADFFFADBB}"/>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FRPSHARE/Public%20Reporting/Merrill%20Bridge/ECL_Lin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Tab Reference"/>
      <sheetName val="FS_Stat-t of Income"/>
      <sheetName val="FS_Stat-t of Comp Income"/>
      <sheetName val="FS_Balance Sheet"/>
      <sheetName val="FS_Cash Flows"/>
      <sheetName val="FS_Equity"/>
      <sheetName val="FS_CS Activity"/>
      <sheetName val="FS_Restatements"/>
      <sheetName val="NT_CHX Split"/>
      <sheetName val="NT_DiscOps P&amp;L"/>
      <sheetName val="NT_DiscOps BS"/>
      <sheetName val="NT_SpChg_Institutional"/>
      <sheetName val="NT_SpChg_Stat-t of Inc"/>
      <sheetName val="NT_SpChg_A2020"/>
      <sheetName val="NT_Acq_Summ Table"/>
      <sheetName val="NT_Balance Sheet Info (A)"/>
      <sheetName val="NT_Balance Sheet Info (L)"/>
      <sheetName val="NT_Debt&amp;Int_STD"/>
      <sheetName val="NT_Debt&amp;Int_LTD"/>
      <sheetName val="NT_Debt&amp;Int_IntExp"/>
      <sheetName val="NT_Debt&amp;Int_AnnualMatur"/>
      <sheetName val="NT_Goodwill"/>
      <sheetName val="NT_FV_Est-d FV"/>
      <sheetName val="NT_FV_Chgs in_FV"/>
      <sheetName val="NT_FV_FV_of_LTD"/>
      <sheetName val="NT_Derivat-s_Summary"/>
      <sheetName val="NT_Derivat-s_Notional Value"/>
      <sheetName val="NT_Derivat-s_CF Hedges"/>
      <sheetName val="NT_Derivat-s_FV Hedges"/>
      <sheetName val="NT_Derivat-s_FV BS"/>
      <sheetName val="NT_Derivat-s_NIH"/>
      <sheetName val="NT_Derivat-s NotDesignated"/>
      <sheetName val="NT_Derivat-s_G|L Income"/>
      <sheetName val="NT_OCI Statement"/>
      <sheetName val="NT_OCI Reclass_from_AOCI"/>
      <sheetName val="NT_EPS"/>
      <sheetName val="NT_Op_Lease_Cost"/>
      <sheetName val="NT_Lease_Maturity"/>
      <sheetName val="NT_Lease_Term_And_Rate"/>
      <sheetName val="NT_Lease_Other_Info"/>
      <sheetName val="NT_Lessor_Lease_Income"/>
      <sheetName val="NT_Lessor_Maturity"/>
      <sheetName val="NT_Pension_Expense"/>
      <sheetName val="NT_Revenues_QTD"/>
      <sheetName val="NT_Revenues_YTD"/>
      <sheetName val="NT_Segments_PY Restat-t"/>
      <sheetName val="NT_Segments_Sales &amp; OI"/>
      <sheetName val="NT_New_Acctg_Pron-ts"/>
      <sheetName val="NT_Doubtful_Accounts"/>
      <sheetName val="MDA_Results Sales"/>
      <sheetName val="MDA_Results Adj to Rep Sales"/>
      <sheetName val="MDA_Results COS &amp; GP Margin"/>
      <sheetName val="MDA_Results SG&amp;A"/>
      <sheetName val="MDA_Results OI &amp; OI Margin"/>
      <sheetName val="MDA_Results Other (Inc)Exp"/>
      <sheetName val="MDA_Results Int Exp"/>
      <sheetName val="MDA_Results Inc Tax Provision"/>
      <sheetName val="MDA_Results Disc Ops"/>
      <sheetName val="MDA_Results NetInc &amp; EPS"/>
      <sheetName val="MDA_Segments_Sales &amp; OI"/>
      <sheetName val="MDA_AcqAdjust"/>
      <sheetName val="MDA_Segments_All"/>
      <sheetName val="MDA_EBITDA"/>
      <sheetName val="MDA_CashFlows"/>
      <sheetName val="Item 2_Unregistered_Sales_Sec"/>
      <sheetName val="10K--&gt;"/>
      <sheetName val="Item 5_Market_Info"/>
      <sheetName val="Item5 Issuer Purch Equity_Sec"/>
      <sheetName val="Item 6"/>
      <sheetName val="MDA_DiscountRateChanges"/>
      <sheetName val="MDA_ContractualObligations"/>
      <sheetName val="NT_Other Intang_WA Life"/>
      <sheetName val="NT_Other Intang_Est Amort"/>
      <sheetName val="MDA_SpecialGains_Charges"/>
      <sheetName val="NT_Other Policies"/>
      <sheetName val="NT_Stock_Option"/>
      <sheetName val="NT_Option_Pricing"/>
      <sheetName val="NT_Non_Vested_PBRSU"/>
      <sheetName val="NT_Tax_Inc_b4_Tax"/>
      <sheetName val="NT_Tax_Provision"/>
      <sheetName val="NT_Tax_Deferred"/>
      <sheetName val="NT_Tax_Rate"/>
      <sheetName val="NT_Tax_Unrec-d_Tax_Ben"/>
      <sheetName val="NT_Rentals_And_Leases"/>
      <sheetName val="NT_Pension_Health_Care_Plans"/>
      <sheetName val="NT_Pension_Comprehensive_Loss"/>
      <sheetName val="NT_Pension_Benefit_Obligation"/>
      <sheetName val="NT_Pension_Plan_Assumptions"/>
      <sheetName val="NT_Pension_Fair_Value"/>
      <sheetName val="NT_Pension_Asset_Allocation"/>
      <sheetName val="NT_Pension_Intl_Assets"/>
      <sheetName val="NT_Pension_Intl_Fair_Value"/>
      <sheetName val="NT_Pension_Cash_Flows"/>
      <sheetName val="MDA_OperatingIncome"/>
      <sheetName val="NT_Pension_Health_Care_Cost"/>
      <sheetName val="NT_Pension_Unobservable_Inputs"/>
      <sheetName val="NT_Segments_Sales and OI"/>
      <sheetName val="NT_Segments_ServiceRev"/>
      <sheetName val="NT_Segments_Sales_&amp;_LongLived_"/>
      <sheetName val="NT_Qtrly_Fin Data"/>
      <sheetName val="Summary_PP_Operations"/>
      <sheetName val="Notes_Acquisition_Agreement"/>
      <sheetName val="Notes_Champion_Assets_Acquired_"/>
      <sheetName val="10Q Only &gt;&gt;"/>
      <sheetName val="Item_Equity_Compensation_Plan_I"/>
      <sheetName val="SalesByRepSegChart"/>
      <sheetName val="Date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3">
          <cell r="D3">
            <v>2021</v>
          </cell>
        </row>
        <row r="8">
          <cell r="B8">
            <v>2020</v>
          </cell>
        </row>
        <row r="9">
          <cell r="B9">
            <v>2019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6"/>
  <sheetViews>
    <sheetView tabSelected="1" zoomScale="90" zoomScaleNormal="90" workbookViewId="0">
      <selection activeCell="A6" sqref="A6"/>
    </sheetView>
  </sheetViews>
  <sheetFormatPr defaultColWidth="9.42578125" defaultRowHeight="12.75" x14ac:dyDescent="0.2"/>
  <cols>
    <col min="1" max="1" width="70.5703125" style="1" customWidth="1"/>
    <col min="2" max="2" width="17.140625" style="1" customWidth="1"/>
    <col min="3" max="4" width="15.42578125" customWidth="1"/>
    <col min="5" max="12" width="15.42578125" style="1" customWidth="1"/>
    <col min="13" max="16384" width="9.42578125" style="1"/>
  </cols>
  <sheetData>
    <row r="1" spans="1:12" x14ac:dyDescent="0.2">
      <c r="A1" s="7" t="s">
        <v>1</v>
      </c>
      <c r="B1" s="7"/>
      <c r="C1" s="31"/>
      <c r="D1" s="31"/>
      <c r="E1" s="7"/>
      <c r="F1" s="7"/>
      <c r="G1" s="7"/>
      <c r="H1" s="7"/>
      <c r="I1" s="7"/>
      <c r="J1" s="7"/>
      <c r="K1" s="7"/>
      <c r="L1" s="7"/>
    </row>
    <row r="2" spans="1:12" x14ac:dyDescent="0.2">
      <c r="A2" s="7" t="s">
        <v>0</v>
      </c>
      <c r="B2" s="7"/>
      <c r="C2" s="31"/>
      <c r="D2" s="31"/>
      <c r="E2" s="7"/>
      <c r="F2" s="7"/>
      <c r="G2" s="7"/>
      <c r="H2" s="7"/>
      <c r="I2" s="7"/>
      <c r="J2" s="7"/>
      <c r="K2" s="7"/>
      <c r="L2" s="7"/>
    </row>
    <row r="3" spans="1:12" x14ac:dyDescent="0.2">
      <c r="A3" s="7" t="s">
        <v>36</v>
      </c>
      <c r="B3" s="7"/>
      <c r="C3" s="31"/>
      <c r="D3" s="31"/>
      <c r="E3" s="7"/>
      <c r="F3" s="7"/>
      <c r="G3" s="7"/>
      <c r="H3" s="7"/>
      <c r="I3" s="7"/>
      <c r="J3" s="7"/>
      <c r="K3" s="7"/>
      <c r="L3" s="7"/>
    </row>
    <row r="4" spans="1:12" x14ac:dyDescent="0.2">
      <c r="A4" s="7"/>
      <c r="B4" s="7"/>
      <c r="C4" s="31"/>
      <c r="D4" s="31"/>
      <c r="E4" s="7"/>
      <c r="F4" s="7"/>
      <c r="G4" s="7"/>
      <c r="H4" s="7"/>
      <c r="I4" s="7"/>
      <c r="J4" s="7"/>
      <c r="K4" s="7"/>
      <c r="L4" s="7"/>
    </row>
    <row r="5" spans="1:12" s="11" customFormat="1" x14ac:dyDescent="0.2">
      <c r="A5" s="10" t="s">
        <v>72</v>
      </c>
      <c r="B5" s="32">
        <v>2021</v>
      </c>
      <c r="C5" s="32">
        <v>2020</v>
      </c>
      <c r="D5" s="32">
        <v>2019</v>
      </c>
      <c r="E5" s="8">
        <v>2018</v>
      </c>
      <c r="F5" s="8">
        <v>2017</v>
      </c>
      <c r="G5" s="8">
        <v>2016</v>
      </c>
      <c r="H5" s="8">
        <v>2015</v>
      </c>
      <c r="I5" s="8">
        <v>2014</v>
      </c>
      <c r="J5" s="8">
        <v>2013</v>
      </c>
      <c r="K5" s="8">
        <v>2012</v>
      </c>
      <c r="L5" s="8">
        <v>2011</v>
      </c>
    </row>
    <row r="6" spans="1:12" x14ac:dyDescent="0.2">
      <c r="B6"/>
    </row>
    <row r="7" spans="1:12" x14ac:dyDescent="0.2">
      <c r="A7" s="7" t="s">
        <v>2</v>
      </c>
      <c r="B7" s="31"/>
      <c r="C7" s="31"/>
      <c r="D7" s="31"/>
      <c r="E7" s="7"/>
      <c r="F7" s="7"/>
      <c r="G7" s="7"/>
      <c r="H7" s="7"/>
      <c r="I7" s="7"/>
    </row>
    <row r="8" spans="1:12" x14ac:dyDescent="0.2">
      <c r="A8" s="1" t="s">
        <v>3</v>
      </c>
      <c r="B8"/>
    </row>
    <row r="9" spans="1:12" ht="14.25" x14ac:dyDescent="0.2">
      <c r="A9" s="6" t="s">
        <v>22</v>
      </c>
      <c r="B9" s="48">
        <v>6585.2</v>
      </c>
      <c r="C9" s="48">
        <v>6118.2</v>
      </c>
      <c r="D9" s="48">
        <v>6810.5</v>
      </c>
      <c r="E9" s="12">
        <v>6536</v>
      </c>
      <c r="F9" s="12">
        <v>6242.5</v>
      </c>
      <c r="G9" s="12">
        <f>1978.1+3051+1373.9+631.8</f>
        <v>7034.8</v>
      </c>
      <c r="H9" s="12">
        <v>7073.2</v>
      </c>
      <c r="I9" s="12">
        <v>7233.6</v>
      </c>
      <c r="J9" s="12">
        <v>6696</v>
      </c>
      <c r="K9" s="12">
        <v>5865.3</v>
      </c>
      <c r="L9" s="12">
        <v>3551.2</v>
      </c>
    </row>
    <row r="10" spans="1:12" x14ac:dyDescent="0.2">
      <c r="A10" s="22" t="s">
        <v>4</v>
      </c>
      <c r="B10" s="15">
        <v>6147.9</v>
      </c>
      <c r="C10" s="15">
        <v>5672</v>
      </c>
      <c r="D10" s="15">
        <v>5751.5</v>
      </c>
      <c r="E10" s="13">
        <v>5686.1</v>
      </c>
      <c r="F10" s="13">
        <v>5288.6</v>
      </c>
      <c r="G10" s="13">
        <v>6116.9999999999991</v>
      </c>
      <c r="H10" s="13">
        <v>6471.9</v>
      </c>
      <c r="I10" s="13">
        <v>7046.9</v>
      </c>
      <c r="J10" s="13">
        <v>6557.4</v>
      </c>
      <c r="K10" s="13">
        <v>5973.4</v>
      </c>
      <c r="L10" s="13">
        <v>3247.3</v>
      </c>
    </row>
    <row r="11" spans="1:12" x14ac:dyDescent="0.2">
      <c r="A11" s="1" t="s">
        <v>5</v>
      </c>
      <c r="B11" s="33">
        <f t="shared" ref="B11" si="0">SUM(B9:B10)</f>
        <v>12733.099999999999</v>
      </c>
      <c r="C11" s="33">
        <f t="shared" ref="C11:D11" si="1">SUM(C9:C10)</f>
        <v>11790.2</v>
      </c>
      <c r="D11" s="33">
        <f t="shared" si="1"/>
        <v>12562</v>
      </c>
      <c r="E11" s="14">
        <f t="shared" ref="E11" si="2">SUM(E9:E10)</f>
        <v>12222.1</v>
      </c>
      <c r="F11" s="14">
        <f t="shared" ref="F11:L11" si="3">SUM(F9:F10)</f>
        <v>11531.1</v>
      </c>
      <c r="G11" s="14">
        <f t="shared" si="3"/>
        <v>13151.8</v>
      </c>
      <c r="H11" s="14">
        <f t="shared" si="3"/>
        <v>13545.099999999999</v>
      </c>
      <c r="I11" s="14">
        <f t="shared" si="3"/>
        <v>14280.5</v>
      </c>
      <c r="J11" s="14">
        <f t="shared" si="3"/>
        <v>13253.4</v>
      </c>
      <c r="K11" s="14">
        <f t="shared" si="3"/>
        <v>11838.7</v>
      </c>
      <c r="L11" s="14">
        <f t="shared" si="3"/>
        <v>6798.5</v>
      </c>
    </row>
    <row r="12" spans="1:12" ht="14.25" x14ac:dyDescent="0.2">
      <c r="A12" s="5" t="s">
        <v>28</v>
      </c>
      <c r="B12" s="14">
        <v>7615.8</v>
      </c>
      <c r="C12" s="14">
        <v>6905.8</v>
      </c>
      <c r="D12" s="14">
        <v>7045.8</v>
      </c>
      <c r="E12" s="9">
        <v>6875.3</v>
      </c>
      <c r="F12" s="9">
        <v>6414.6</v>
      </c>
      <c r="G12" s="9">
        <v>7533.9</v>
      </c>
      <c r="H12" s="9">
        <v>7223.5</v>
      </c>
      <c r="I12" s="9">
        <v>7679.1</v>
      </c>
      <c r="J12" s="9">
        <v>7161.2</v>
      </c>
      <c r="K12" s="9">
        <v>6385.4</v>
      </c>
      <c r="L12" s="9">
        <v>3475.6</v>
      </c>
    </row>
    <row r="13" spans="1:12" ht="14.25" x14ac:dyDescent="0.2">
      <c r="A13" s="5" t="s">
        <v>29</v>
      </c>
      <c r="B13" s="14">
        <v>3416.1</v>
      </c>
      <c r="C13" s="14">
        <v>3309.1</v>
      </c>
      <c r="D13" s="14">
        <v>3550.8</v>
      </c>
      <c r="E13" s="9">
        <v>3505.8</v>
      </c>
      <c r="F13" s="9">
        <v>3364.3</v>
      </c>
      <c r="G13" s="9">
        <v>3708.2</v>
      </c>
      <c r="H13" s="9">
        <v>4345.5</v>
      </c>
      <c r="I13" s="9">
        <v>4577.6000000000004</v>
      </c>
      <c r="J13" s="9">
        <v>4360.3</v>
      </c>
      <c r="K13" s="9">
        <v>4018.3</v>
      </c>
      <c r="L13" s="9">
        <v>2438.1</v>
      </c>
    </row>
    <row r="14" spans="1:12" x14ac:dyDescent="0.2">
      <c r="A14" s="22" t="s">
        <v>19</v>
      </c>
      <c r="B14" s="15">
        <v>102.6</v>
      </c>
      <c r="C14" s="15">
        <v>179.6</v>
      </c>
      <c r="D14" s="15">
        <v>120.2</v>
      </c>
      <c r="E14" s="13">
        <v>112.7</v>
      </c>
      <c r="F14" s="13">
        <v>4.9000000000000004</v>
      </c>
      <c r="G14" s="13">
        <v>39.5</v>
      </c>
      <c r="H14" s="13">
        <v>414.8</v>
      </c>
      <c r="I14" s="13">
        <v>68.8</v>
      </c>
      <c r="J14" s="13">
        <v>171.3</v>
      </c>
      <c r="K14" s="13">
        <v>145.69999999999999</v>
      </c>
      <c r="L14" s="13">
        <v>131</v>
      </c>
    </row>
    <row r="15" spans="1:12" x14ac:dyDescent="0.2">
      <c r="A15" s="1" t="s">
        <v>6</v>
      </c>
      <c r="B15" s="33">
        <f t="shared" ref="B15" si="4">+B11-B12-B13-B14</f>
        <v>1598.5999999999985</v>
      </c>
      <c r="C15" s="33">
        <f t="shared" ref="C15:D15" si="5">+C11-C12-C13-C14</f>
        <v>1395.7000000000007</v>
      </c>
      <c r="D15" s="33">
        <f t="shared" si="5"/>
        <v>1845.1999999999996</v>
      </c>
      <c r="E15" s="9">
        <f t="shared" ref="E15" si="6">+E11-E12-E13-E14</f>
        <v>1728.3</v>
      </c>
      <c r="F15" s="9">
        <f t="shared" ref="F15:L15" si="7">+F11-F12-F13-F14</f>
        <v>1747.2999999999997</v>
      </c>
      <c r="G15" s="9">
        <f t="shared" si="7"/>
        <v>1870.1999999999998</v>
      </c>
      <c r="H15" s="9">
        <f t="shared" si="7"/>
        <v>1561.2999999999986</v>
      </c>
      <c r="I15" s="9">
        <f t="shared" si="7"/>
        <v>1954.9999999999993</v>
      </c>
      <c r="J15" s="9">
        <f t="shared" si="7"/>
        <v>1560.5999999999997</v>
      </c>
      <c r="K15" s="9">
        <f t="shared" si="7"/>
        <v>1289.3000000000009</v>
      </c>
      <c r="L15" s="9">
        <f t="shared" si="7"/>
        <v>753.80000000000018</v>
      </c>
    </row>
    <row r="16" spans="1:12" ht="14.25" x14ac:dyDescent="0.2">
      <c r="A16" s="5" t="s">
        <v>54</v>
      </c>
      <c r="B16" s="14">
        <v>-33.9</v>
      </c>
      <c r="C16" s="14">
        <v>-55.9</v>
      </c>
      <c r="D16" s="14">
        <v>-77</v>
      </c>
      <c r="E16" s="9">
        <v>-79.900000000000006</v>
      </c>
      <c r="F16" s="9">
        <v>-67.3</v>
      </c>
      <c r="G16" s="9">
        <v>-43.8</v>
      </c>
      <c r="H16" s="9">
        <v>0</v>
      </c>
      <c r="I16" s="9">
        <v>0</v>
      </c>
      <c r="J16" s="9">
        <v>0</v>
      </c>
      <c r="K16" s="9">
        <v>0</v>
      </c>
      <c r="L16" s="9">
        <v>0</v>
      </c>
    </row>
    <row r="17" spans="1:12" ht="14.25" x14ac:dyDescent="0.2">
      <c r="A17" s="23" t="s">
        <v>55</v>
      </c>
      <c r="B17" s="15">
        <v>218.3</v>
      </c>
      <c r="C17" s="15">
        <v>290.2</v>
      </c>
      <c r="D17" s="15">
        <v>190.7</v>
      </c>
      <c r="E17" s="13">
        <v>221.1</v>
      </c>
      <c r="F17" s="13">
        <v>254.6</v>
      </c>
      <c r="G17" s="13">
        <v>264.60000000000002</v>
      </c>
      <c r="H17" s="13">
        <v>243.6</v>
      </c>
      <c r="I17" s="13">
        <v>256.60000000000002</v>
      </c>
      <c r="J17" s="13">
        <v>262.3</v>
      </c>
      <c r="K17" s="13">
        <v>276.7</v>
      </c>
      <c r="L17" s="13">
        <v>74.2</v>
      </c>
    </row>
    <row r="18" spans="1:12" x14ac:dyDescent="0.2">
      <c r="A18" s="5" t="s">
        <v>25</v>
      </c>
      <c r="B18" s="33">
        <f>+B15-B17-B16</f>
        <v>1414.1999999999987</v>
      </c>
      <c r="C18" s="33">
        <f>+C15-C17-C16</f>
        <v>1161.4000000000008</v>
      </c>
      <c r="D18" s="33">
        <f>+D15-D17-D16</f>
        <v>1731.4999999999995</v>
      </c>
      <c r="E18" s="9">
        <f>+E15-E17-E16</f>
        <v>1587.1000000000001</v>
      </c>
      <c r="F18" s="9">
        <f>+F15-F17-F16</f>
        <v>1559.9999999999998</v>
      </c>
      <c r="G18" s="9">
        <f t="shared" ref="G18:L18" si="8">+G15-G17-G16</f>
        <v>1649.3999999999999</v>
      </c>
      <c r="H18" s="9">
        <f t="shared" si="8"/>
        <v>1317.6999999999987</v>
      </c>
      <c r="I18" s="9">
        <f t="shared" si="8"/>
        <v>1698.3999999999992</v>
      </c>
      <c r="J18" s="9">
        <f t="shared" si="8"/>
        <v>1298.2999999999997</v>
      </c>
      <c r="K18" s="9">
        <f t="shared" si="8"/>
        <v>1012.6000000000008</v>
      </c>
      <c r="L18" s="9">
        <f t="shared" si="8"/>
        <v>679.60000000000014</v>
      </c>
    </row>
    <row r="19" spans="1:12" x14ac:dyDescent="0.2">
      <c r="A19" s="22" t="s">
        <v>7</v>
      </c>
      <c r="B19" s="15">
        <v>270.2</v>
      </c>
      <c r="C19" s="15">
        <v>176.6</v>
      </c>
      <c r="D19" s="15">
        <v>288.60000000000002</v>
      </c>
      <c r="E19" s="13">
        <v>321.2</v>
      </c>
      <c r="F19" s="13">
        <v>189.8</v>
      </c>
      <c r="G19" s="13">
        <v>402.9</v>
      </c>
      <c r="H19" s="13">
        <v>300.5</v>
      </c>
      <c r="I19" s="13">
        <v>476.2</v>
      </c>
      <c r="J19" s="13">
        <v>324.7</v>
      </c>
      <c r="K19" s="13">
        <v>311.3</v>
      </c>
      <c r="L19" s="13">
        <v>216.3</v>
      </c>
    </row>
    <row r="20" spans="1:12" x14ac:dyDescent="0.2">
      <c r="A20" s="1" t="s">
        <v>53</v>
      </c>
      <c r="B20" s="14">
        <f t="shared" ref="B20" si="9">B18-B19</f>
        <v>1143.9999999999986</v>
      </c>
      <c r="C20" s="14">
        <f t="shared" ref="C20:D20" si="10">C18-C19</f>
        <v>984.80000000000075</v>
      </c>
      <c r="D20" s="33">
        <f t="shared" si="10"/>
        <v>1442.8999999999996</v>
      </c>
      <c r="E20" s="14">
        <f t="shared" ref="E20" si="11">E18-E19</f>
        <v>1265.9000000000001</v>
      </c>
      <c r="F20" s="14">
        <f t="shared" ref="F20:I20" si="12">F18-F19</f>
        <v>1370.1999999999998</v>
      </c>
      <c r="G20" s="14">
        <f t="shared" si="12"/>
        <v>1246.5</v>
      </c>
      <c r="H20" s="14">
        <f t="shared" si="12"/>
        <v>1017.1999999999987</v>
      </c>
      <c r="I20" s="14">
        <f t="shared" si="12"/>
        <v>1222.1999999999991</v>
      </c>
      <c r="J20" s="14">
        <f t="shared" ref="J20:L20" si="13">J18-J19</f>
        <v>973.59999999999968</v>
      </c>
      <c r="K20" s="14">
        <f t="shared" si="13"/>
        <v>701.30000000000086</v>
      </c>
      <c r="L20" s="14">
        <f t="shared" si="13"/>
        <v>463.30000000000013</v>
      </c>
    </row>
    <row r="21" spans="1:12" ht="14.25" x14ac:dyDescent="0.2">
      <c r="A21" s="23" t="s">
        <v>57</v>
      </c>
      <c r="B21" s="15">
        <v>14.1</v>
      </c>
      <c r="C21" s="15">
        <v>17.399999999999999</v>
      </c>
      <c r="D21" s="15">
        <v>17.3</v>
      </c>
      <c r="E21" s="15">
        <v>15.6</v>
      </c>
      <c r="F21" s="15">
        <v>17.899999999999999</v>
      </c>
      <c r="G21" s="15">
        <v>17.5</v>
      </c>
      <c r="H21" s="15">
        <v>15.1</v>
      </c>
      <c r="I21" s="15">
        <v>19.399999999999999</v>
      </c>
      <c r="J21" s="15">
        <v>5.8</v>
      </c>
      <c r="K21" s="15">
        <v>-2.2999999999999998</v>
      </c>
      <c r="L21" s="15">
        <v>0.8</v>
      </c>
    </row>
    <row r="22" spans="1:12" x14ac:dyDescent="0.2">
      <c r="A22" s="51" t="s">
        <v>56</v>
      </c>
      <c r="B22" s="14">
        <f t="shared" ref="B22" si="14">B20-B21</f>
        <v>1129.8999999999987</v>
      </c>
      <c r="C22" s="14">
        <f t="shared" ref="C22:D22" si="15">C20-C21</f>
        <v>967.40000000000077</v>
      </c>
      <c r="D22" s="14">
        <f t="shared" si="15"/>
        <v>1425.5999999999997</v>
      </c>
      <c r="E22" s="14">
        <f t="shared" ref="E22" si="16">E20-E21</f>
        <v>1250.3000000000002</v>
      </c>
      <c r="F22" s="14">
        <f t="shared" ref="F22:L22" si="17">F20-F21</f>
        <v>1352.2999999999997</v>
      </c>
      <c r="G22" s="14">
        <f t="shared" si="17"/>
        <v>1229</v>
      </c>
      <c r="H22" s="14">
        <f t="shared" si="17"/>
        <v>1002.0999999999987</v>
      </c>
      <c r="I22" s="14">
        <f t="shared" si="17"/>
        <v>1202.799999999999</v>
      </c>
      <c r="J22" s="14">
        <f t="shared" si="17"/>
        <v>967.79999999999973</v>
      </c>
      <c r="K22" s="14">
        <f t="shared" si="17"/>
        <v>703.60000000000082</v>
      </c>
      <c r="L22" s="14">
        <f t="shared" si="17"/>
        <v>462.50000000000011</v>
      </c>
    </row>
    <row r="23" spans="1:12" ht="14.25" x14ac:dyDescent="0.2">
      <c r="A23" s="23" t="s">
        <v>62</v>
      </c>
      <c r="B23" s="15">
        <v>0</v>
      </c>
      <c r="C23" s="15">
        <v>-2172.5</v>
      </c>
      <c r="D23" s="15">
        <v>133.30000000000001</v>
      </c>
      <c r="E23" s="15">
        <v>178.8</v>
      </c>
      <c r="F23" s="15">
        <v>152.30000000000001</v>
      </c>
      <c r="G23" s="15">
        <v>0</v>
      </c>
      <c r="H23" s="15">
        <v>0</v>
      </c>
      <c r="I23" s="15">
        <v>0</v>
      </c>
      <c r="J23" s="15">
        <v>0</v>
      </c>
      <c r="K23" s="15">
        <v>0</v>
      </c>
      <c r="L23" s="15">
        <v>0</v>
      </c>
    </row>
    <row r="24" spans="1:12" ht="13.5" thickBot="1" x14ac:dyDescent="0.25">
      <c r="A24" s="24" t="s">
        <v>63</v>
      </c>
      <c r="B24" s="34">
        <f>SUM(B22:B23)</f>
        <v>1129.8999999999987</v>
      </c>
      <c r="C24" s="34">
        <f>SUM(C22:C23)</f>
        <v>-1205.0999999999992</v>
      </c>
      <c r="D24" s="34">
        <f t="shared" ref="D24:L24" si="18">SUM(D22:D23)</f>
        <v>1558.8999999999996</v>
      </c>
      <c r="E24" s="34">
        <f t="shared" si="18"/>
        <v>1429.1000000000001</v>
      </c>
      <c r="F24" s="34">
        <f t="shared" si="18"/>
        <v>1504.5999999999997</v>
      </c>
      <c r="G24" s="34">
        <f t="shared" si="18"/>
        <v>1229</v>
      </c>
      <c r="H24" s="34">
        <f t="shared" si="18"/>
        <v>1002.0999999999987</v>
      </c>
      <c r="I24" s="34">
        <f t="shared" si="18"/>
        <v>1202.799999999999</v>
      </c>
      <c r="J24" s="34">
        <f t="shared" si="18"/>
        <v>967.79999999999973</v>
      </c>
      <c r="K24" s="34">
        <f t="shared" si="18"/>
        <v>703.60000000000082</v>
      </c>
      <c r="L24" s="34">
        <f t="shared" si="18"/>
        <v>462.50000000000011</v>
      </c>
    </row>
    <row r="25" spans="1:12" ht="13.5" thickTop="1" x14ac:dyDescent="0.2">
      <c r="B25" s="35"/>
      <c r="C25" s="35"/>
      <c r="D25" s="35"/>
      <c r="E25" s="2"/>
      <c r="F25" s="2"/>
      <c r="G25" s="2"/>
      <c r="H25" s="2"/>
      <c r="I25" s="2"/>
      <c r="J25" s="2"/>
      <c r="K25" s="2"/>
      <c r="L25" s="2"/>
    </row>
    <row r="26" spans="1:12" x14ac:dyDescent="0.2">
      <c r="A26" s="1" t="s">
        <v>40</v>
      </c>
      <c r="B26"/>
    </row>
    <row r="27" spans="1:12" x14ac:dyDescent="0.2">
      <c r="A27" s="1" t="s">
        <v>41</v>
      </c>
      <c r="B27" s="49">
        <v>3.91</v>
      </c>
      <c r="C27" s="49">
        <v>3.33</v>
      </c>
      <c r="D27" s="49">
        <v>4.87</v>
      </c>
      <c r="E27" s="16">
        <v>4.2699999999999996</v>
      </c>
      <c r="F27" s="16">
        <v>4.5999999999999996</v>
      </c>
      <c r="G27" s="16">
        <v>4.1399999999999997</v>
      </c>
      <c r="H27" s="16">
        <v>3.32</v>
      </c>
      <c r="I27" s="16">
        <f t="shared" ref="I27" si="19">I22/I34</f>
        <v>3.9320039228506021</v>
      </c>
      <c r="J27" s="16">
        <f>J22/J34</f>
        <v>3.1637790127492638</v>
      </c>
      <c r="K27" s="16">
        <f>K22/K34</f>
        <v>2.3539645366343289</v>
      </c>
      <c r="L27" s="16">
        <f>L22/L34</f>
        <v>1.9103676166873198</v>
      </c>
    </row>
    <row r="28" spans="1:12" x14ac:dyDescent="0.2">
      <c r="A28" s="21" t="s">
        <v>19</v>
      </c>
      <c r="B28" s="30">
        <v>0.74</v>
      </c>
      <c r="C28" s="30">
        <v>0.88</v>
      </c>
      <c r="D28" s="30">
        <v>0.45</v>
      </c>
      <c r="E28" s="29">
        <v>0.3</v>
      </c>
      <c r="F28" s="29">
        <v>0.14000000000000001</v>
      </c>
      <c r="G28" s="29">
        <v>0.21</v>
      </c>
      <c r="H28" s="29">
        <v>1.25</v>
      </c>
      <c r="I28" s="29">
        <v>0.2</v>
      </c>
      <c r="J28" s="29">
        <v>0.51</v>
      </c>
      <c r="K28" s="29">
        <v>0.65</v>
      </c>
      <c r="L28" s="29">
        <v>0.6</v>
      </c>
    </row>
    <row r="29" spans="1:12" x14ac:dyDescent="0.2">
      <c r="A29" s="28" t="s">
        <v>42</v>
      </c>
      <c r="B29" s="30">
        <v>0.02</v>
      </c>
      <c r="C29" s="30">
        <v>-0.19</v>
      </c>
      <c r="D29" s="30">
        <v>-0.2</v>
      </c>
      <c r="E29" s="3">
        <v>0.01</v>
      </c>
      <c r="F29" s="30">
        <v>-0.64</v>
      </c>
      <c r="G29" s="30">
        <v>0.01</v>
      </c>
      <c r="H29" s="30">
        <v>-0.21</v>
      </c>
      <c r="I29" s="30">
        <v>0.04</v>
      </c>
      <c r="J29" s="30">
        <v>-0.14000000000000001</v>
      </c>
      <c r="K29" s="30">
        <v>-0.03</v>
      </c>
      <c r="L29" s="30">
        <v>0.03</v>
      </c>
    </row>
    <row r="30" spans="1:12" x14ac:dyDescent="0.2">
      <c r="A30" s="28" t="s">
        <v>58</v>
      </c>
      <c r="B30" s="30">
        <v>0.02</v>
      </c>
      <c r="C30" s="30">
        <v>0</v>
      </c>
      <c r="D30" s="30">
        <v>0</v>
      </c>
      <c r="E30" s="30">
        <v>0</v>
      </c>
      <c r="F30" s="30">
        <v>0</v>
      </c>
      <c r="G30" s="30">
        <v>0</v>
      </c>
      <c r="H30" s="30">
        <v>0</v>
      </c>
      <c r="I30" s="30">
        <v>0</v>
      </c>
      <c r="J30" s="30">
        <v>0</v>
      </c>
      <c r="K30" s="30">
        <v>0</v>
      </c>
      <c r="L30" s="30">
        <v>0</v>
      </c>
    </row>
    <row r="31" spans="1:12" ht="13.5" thickBot="1" x14ac:dyDescent="0.25">
      <c r="A31" s="5" t="s">
        <v>45</v>
      </c>
      <c r="B31" s="37">
        <f>SUM(B27:B30)</f>
        <v>4.6899999999999995</v>
      </c>
      <c r="C31" s="37">
        <f t="shared" ref="C31:L31" si="20">SUM(C27:C30)</f>
        <v>4.0199999999999996</v>
      </c>
      <c r="D31" s="37">
        <f t="shared" si="20"/>
        <v>5.12</v>
      </c>
      <c r="E31" s="37">
        <f t="shared" si="20"/>
        <v>4.5799999999999992</v>
      </c>
      <c r="F31" s="37">
        <f t="shared" si="20"/>
        <v>4.0999999999999996</v>
      </c>
      <c r="G31" s="37">
        <f t="shared" si="20"/>
        <v>4.3599999999999994</v>
      </c>
      <c r="H31" s="37">
        <f t="shared" si="20"/>
        <v>4.3600000000000003</v>
      </c>
      <c r="I31" s="37">
        <f t="shared" si="20"/>
        <v>4.1720039228506023</v>
      </c>
      <c r="J31" s="37">
        <f t="shared" si="20"/>
        <v>3.5337790127492634</v>
      </c>
      <c r="K31" s="37">
        <f t="shared" si="20"/>
        <v>2.973964536634329</v>
      </c>
      <c r="L31" s="37">
        <f t="shared" si="20"/>
        <v>2.5403676166873197</v>
      </c>
    </row>
    <row r="32" spans="1:12" ht="13.5" thickTop="1" x14ac:dyDescent="0.2">
      <c r="B32" s="36"/>
      <c r="C32" s="36"/>
      <c r="D32" s="36"/>
      <c r="E32" s="16"/>
      <c r="F32" s="16"/>
      <c r="G32" s="16"/>
      <c r="H32" s="16"/>
      <c r="I32" s="16"/>
      <c r="J32" s="16"/>
      <c r="K32" s="16"/>
      <c r="L32" s="16"/>
    </row>
    <row r="33" spans="1:12" x14ac:dyDescent="0.2">
      <c r="A33" s="1" t="s">
        <v>8</v>
      </c>
      <c r="B33" s="14">
        <v>286.3</v>
      </c>
      <c r="C33" s="14">
        <v>287</v>
      </c>
      <c r="D33" s="14">
        <v>288.10000000000002</v>
      </c>
      <c r="E33" s="9">
        <v>288.60000000000002</v>
      </c>
      <c r="F33" s="9">
        <v>289.60000000000002</v>
      </c>
      <c r="G33" s="9">
        <v>292.5</v>
      </c>
      <c r="H33" s="9">
        <v>296.39999999999998</v>
      </c>
      <c r="I33" s="9">
        <v>300.10000000000002</v>
      </c>
      <c r="J33" s="9">
        <v>299.89999999999998</v>
      </c>
      <c r="K33" s="9">
        <v>292.5</v>
      </c>
      <c r="L33" s="9">
        <v>236.9</v>
      </c>
    </row>
    <row r="34" spans="1:12" x14ac:dyDescent="0.2">
      <c r="A34" s="1" t="s">
        <v>9</v>
      </c>
      <c r="B34" s="14">
        <v>289.10000000000002</v>
      </c>
      <c r="C34" s="14">
        <v>290.3</v>
      </c>
      <c r="D34" s="14">
        <v>292.5</v>
      </c>
      <c r="E34" s="9">
        <v>292.8</v>
      </c>
      <c r="F34" s="9">
        <v>294</v>
      </c>
      <c r="G34" s="9">
        <v>296.7</v>
      </c>
      <c r="H34" s="9">
        <v>301.39999999999998</v>
      </c>
      <c r="I34" s="9">
        <v>305.89999999999998</v>
      </c>
      <c r="J34" s="9">
        <v>305.89999999999998</v>
      </c>
      <c r="K34" s="9">
        <v>298.89999999999998</v>
      </c>
      <c r="L34" s="9">
        <v>242.1</v>
      </c>
    </row>
    <row r="35" spans="1:12" x14ac:dyDescent="0.2">
      <c r="B35" s="38"/>
      <c r="C35" s="38"/>
      <c r="D35" s="38"/>
      <c r="E35" s="4"/>
      <c r="F35" s="4"/>
      <c r="G35" s="4"/>
      <c r="H35" s="4"/>
      <c r="I35" s="4"/>
      <c r="J35" s="4"/>
      <c r="K35" s="4"/>
      <c r="L35" s="4"/>
    </row>
    <row r="36" spans="1:12" x14ac:dyDescent="0.2">
      <c r="A36" s="7" t="s">
        <v>10</v>
      </c>
      <c r="B36"/>
    </row>
    <row r="37" spans="1:12" x14ac:dyDescent="0.2">
      <c r="A37" s="1" t="s">
        <v>11</v>
      </c>
      <c r="B37"/>
    </row>
    <row r="38" spans="1:12" x14ac:dyDescent="0.2">
      <c r="A38" s="1" t="s">
        <v>32</v>
      </c>
      <c r="B38" s="39">
        <f>(+B11-B12)/B11</f>
        <v>0.40188956342131915</v>
      </c>
      <c r="C38" s="39">
        <f t="shared" ref="C38:L38" si="21">(+C11-C12)/C11</f>
        <v>0.41427626333734796</v>
      </c>
      <c r="D38" s="39">
        <f t="shared" si="21"/>
        <v>0.43911797484476994</v>
      </c>
      <c r="E38" s="17">
        <f t="shared" si="21"/>
        <v>0.437469829243747</v>
      </c>
      <c r="F38" s="17">
        <f t="shared" si="21"/>
        <v>0.44371308895075057</v>
      </c>
      <c r="G38" s="17">
        <f t="shared" si="21"/>
        <v>0.42715825970589577</v>
      </c>
      <c r="H38" s="17">
        <f t="shared" si="21"/>
        <v>0.46670751784778253</v>
      </c>
      <c r="I38" s="17">
        <f t="shared" si="21"/>
        <v>0.46226672735548474</v>
      </c>
      <c r="J38" s="17">
        <f t="shared" si="21"/>
        <v>0.45967072600238429</v>
      </c>
      <c r="K38" s="17">
        <f t="shared" si="21"/>
        <v>0.46063334656676835</v>
      </c>
      <c r="L38" s="17">
        <f t="shared" si="21"/>
        <v>0.48876958152533651</v>
      </c>
    </row>
    <row r="39" spans="1:12" x14ac:dyDescent="0.2">
      <c r="A39" s="1" t="s">
        <v>12</v>
      </c>
      <c r="B39" s="39">
        <f>+B13/B11</f>
        <v>0.26828502092970291</v>
      </c>
      <c r="C39" s="39">
        <f t="shared" ref="C39:L39" si="22">+C13/C11</f>
        <v>0.28066529829858694</v>
      </c>
      <c r="D39" s="39">
        <f t="shared" si="22"/>
        <v>0.28266199649737306</v>
      </c>
      <c r="E39" s="17">
        <f t="shared" si="22"/>
        <v>0.28684105022868411</v>
      </c>
      <c r="F39" s="17">
        <f t="shared" si="22"/>
        <v>0.2917588087866726</v>
      </c>
      <c r="G39" s="17">
        <f t="shared" si="22"/>
        <v>0.28195380100062351</v>
      </c>
      <c r="H39" s="17">
        <f t="shared" si="22"/>
        <v>0.32081712205889956</v>
      </c>
      <c r="I39" s="17">
        <f t="shared" si="22"/>
        <v>0.32054900038514061</v>
      </c>
      <c r="J39" s="17">
        <f t="shared" si="22"/>
        <v>0.32899482396969837</v>
      </c>
      <c r="K39" s="17">
        <f t="shared" si="22"/>
        <v>0.33942071342292651</v>
      </c>
      <c r="L39" s="17">
        <f t="shared" si="22"/>
        <v>0.35862322571155403</v>
      </c>
    </row>
    <row r="40" spans="1:12" x14ac:dyDescent="0.2">
      <c r="A40" s="1" t="s">
        <v>13</v>
      </c>
      <c r="B40" s="39">
        <f>+B15/B11</f>
        <v>0.12554680321367134</v>
      </c>
      <c r="C40" s="39">
        <f t="shared" ref="C40:L40" si="23">+C15/C11</f>
        <v>0.11837797492833037</v>
      </c>
      <c r="D40" s="39">
        <f t="shared" si="23"/>
        <v>0.1468874383060022</v>
      </c>
      <c r="E40" s="17">
        <f t="shared" si="23"/>
        <v>0.14140777771414076</v>
      </c>
      <c r="F40" s="17">
        <f t="shared" si="23"/>
        <v>0.15152934238710961</v>
      </c>
      <c r="G40" s="17">
        <f t="shared" si="23"/>
        <v>0.14220106753448197</v>
      </c>
      <c r="H40" s="17">
        <f t="shared" si="23"/>
        <v>0.11526677543908859</v>
      </c>
      <c r="I40" s="17">
        <f t="shared" si="23"/>
        <v>0.13689996848849825</v>
      </c>
      <c r="J40" s="17">
        <f t="shared" si="23"/>
        <v>0.1177509167458916</v>
      </c>
      <c r="K40" s="17">
        <f t="shared" si="23"/>
        <v>0.10890553861488177</v>
      </c>
      <c r="L40" s="17">
        <f t="shared" si="23"/>
        <v>0.11087739942634407</v>
      </c>
    </row>
    <row r="41" spans="1:12" x14ac:dyDescent="0.2">
      <c r="A41" s="5" t="s">
        <v>26</v>
      </c>
      <c r="B41" s="39">
        <f>+B18/B11</f>
        <v>0.11106486244512324</v>
      </c>
      <c r="C41" s="39">
        <f t="shared" ref="C41:L41" si="24">+C18/C11</f>
        <v>9.8505538498074738E-2</v>
      </c>
      <c r="D41" s="39">
        <f t="shared" si="24"/>
        <v>0.13783633179430024</v>
      </c>
      <c r="E41" s="17">
        <f t="shared" si="24"/>
        <v>0.1298549349129855</v>
      </c>
      <c r="F41" s="17">
        <f t="shared" si="24"/>
        <v>0.13528631266748184</v>
      </c>
      <c r="G41" s="17">
        <f t="shared" si="24"/>
        <v>0.12541249106586169</v>
      </c>
      <c r="H41" s="17">
        <f t="shared" si="24"/>
        <v>9.7282412089980785E-2</v>
      </c>
      <c r="I41" s="17">
        <f t="shared" si="24"/>
        <v>0.11893140996463704</v>
      </c>
      <c r="J41" s="17">
        <f t="shared" si="24"/>
        <v>9.7959768814040157E-2</v>
      </c>
      <c r="K41" s="17">
        <f t="shared" si="24"/>
        <v>8.553303994526433E-2</v>
      </c>
      <c r="L41" s="17">
        <f t="shared" si="24"/>
        <v>9.9963227182466738E-2</v>
      </c>
    </row>
    <row r="42" spans="1:12" x14ac:dyDescent="0.2">
      <c r="A42" s="5" t="s">
        <v>68</v>
      </c>
      <c r="B42" s="39">
        <f t="shared" ref="B42:H42" si="25">B22/B11</f>
        <v>8.8737228169102483E-2</v>
      </c>
      <c r="C42" s="39">
        <f t="shared" si="25"/>
        <v>8.205119506030438E-2</v>
      </c>
      <c r="D42" s="39">
        <f t="shared" si="25"/>
        <v>0.1134851138353765</v>
      </c>
      <c r="E42" s="17">
        <f t="shared" si="25"/>
        <v>0.10229829571022984</v>
      </c>
      <c r="F42" s="17">
        <f t="shared" si="25"/>
        <v>0.11727415424374081</v>
      </c>
      <c r="G42" s="17">
        <f t="shared" si="25"/>
        <v>9.3447284782311166E-2</v>
      </c>
      <c r="H42" s="17">
        <f t="shared" si="25"/>
        <v>7.3982473366752455E-2</v>
      </c>
      <c r="I42" s="17">
        <f t="shared" ref="I42:L42" si="26">I22/I11</f>
        <v>8.422674276110774E-2</v>
      </c>
      <c r="J42" s="17">
        <f t="shared" si="26"/>
        <v>7.3022771515233814E-2</v>
      </c>
      <c r="K42" s="17">
        <f t="shared" si="26"/>
        <v>5.943220117073672E-2</v>
      </c>
      <c r="L42" s="17">
        <f t="shared" si="26"/>
        <v>6.80297124365669E-2</v>
      </c>
    </row>
    <row r="43" spans="1:12" x14ac:dyDescent="0.2">
      <c r="A43" s="1" t="s">
        <v>14</v>
      </c>
      <c r="B43" s="39">
        <f>+B19/B18</f>
        <v>0.19106208457078225</v>
      </c>
      <c r="C43" s="39">
        <f>+C19/C18</f>
        <v>0.15205786120199749</v>
      </c>
      <c r="D43" s="39">
        <f>+D19/D18</f>
        <v>0.1666762922321687</v>
      </c>
      <c r="E43" s="17">
        <f>+E19/E18</f>
        <v>0.20238170247621445</v>
      </c>
      <c r="F43" s="17">
        <f t="shared" ref="F43" si="27">+F19/F18</f>
        <v>0.12166666666666669</v>
      </c>
      <c r="G43" s="17">
        <f t="shared" ref="G43:H43" si="28">+G19/G18</f>
        <v>0.24427064387049838</v>
      </c>
      <c r="H43" s="17">
        <f t="shared" si="28"/>
        <v>0.22804887303635143</v>
      </c>
      <c r="I43" s="17">
        <f>+I19/I18</f>
        <v>0.28038153556288287</v>
      </c>
      <c r="J43" s="17">
        <f>+J19/J18</f>
        <v>0.25009627975044291</v>
      </c>
      <c r="K43" s="17">
        <f>+K19/K18</f>
        <v>0.30742642701955336</v>
      </c>
      <c r="L43" s="17">
        <f>+L19/L18</f>
        <v>0.31827545615067682</v>
      </c>
    </row>
    <row r="44" spans="1:12" x14ac:dyDescent="0.2">
      <c r="A44" s="1" t="s">
        <v>15</v>
      </c>
      <c r="B44" s="27">
        <f>+B22/6166.5</f>
        <v>0.18323197924268203</v>
      </c>
      <c r="C44" s="27">
        <f>+C22/8685.3</f>
        <v>0.11138360217839348</v>
      </c>
      <c r="D44" s="27">
        <f>+D22/8003.2</f>
        <v>0.17812874850059973</v>
      </c>
      <c r="E44" s="27">
        <f>+E22/7583.6</f>
        <v>0.1648689276860594</v>
      </c>
      <c r="F44" s="27">
        <f>+F22/6871.3</f>
        <v>0.19680409820557968</v>
      </c>
      <c r="G44" s="27">
        <f>+G22/6909.9</f>
        <v>0.17786075051737363</v>
      </c>
      <c r="H44" s="27">
        <f>+H22/7315.9</f>
        <v>0.13697562842575742</v>
      </c>
      <c r="I44" s="18">
        <f>+I22/7344.3</f>
        <v>0.16377326634260569</v>
      </c>
      <c r="J44" s="18">
        <f>+J22/6077</f>
        <v>0.15925621194668418</v>
      </c>
      <c r="K44" s="18">
        <f>+K22/5666.7</f>
        <v>0.12416397550602658</v>
      </c>
      <c r="L44" s="18">
        <f>+L22/2129.2</f>
        <v>0.21721773436032321</v>
      </c>
    </row>
    <row r="45" spans="1:12" x14ac:dyDescent="0.2">
      <c r="B45" s="40"/>
      <c r="C45" s="40"/>
      <c r="D45" s="40"/>
      <c r="E45" s="5"/>
      <c r="F45" s="5"/>
      <c r="G45" s="5"/>
      <c r="H45" s="5"/>
      <c r="I45" s="5"/>
      <c r="J45" s="5"/>
      <c r="K45" s="5"/>
      <c r="L45" s="5"/>
    </row>
    <row r="46" spans="1:12" x14ac:dyDescent="0.2">
      <c r="A46" s="7" t="s">
        <v>16</v>
      </c>
      <c r="B46" s="40"/>
      <c r="C46" s="40"/>
      <c r="D46" s="40"/>
      <c r="E46" s="5"/>
      <c r="F46" s="5"/>
      <c r="G46" s="5"/>
      <c r="H46" s="5"/>
      <c r="I46" s="5"/>
      <c r="J46" s="5"/>
      <c r="K46" s="5"/>
      <c r="L46" s="5"/>
    </row>
    <row r="47" spans="1:12" x14ac:dyDescent="0.2">
      <c r="A47" s="6" t="s">
        <v>17</v>
      </c>
      <c r="B47" s="26" t="s">
        <v>59</v>
      </c>
      <c r="C47" s="26" t="s">
        <v>51</v>
      </c>
      <c r="D47" s="41" t="s">
        <v>50</v>
      </c>
      <c r="E47" s="26" t="s">
        <v>39</v>
      </c>
      <c r="F47" s="26" t="s">
        <v>38</v>
      </c>
      <c r="G47" s="26" t="s">
        <v>37</v>
      </c>
      <c r="H47" s="26" t="s">
        <v>35</v>
      </c>
      <c r="I47" s="26" t="s">
        <v>33</v>
      </c>
      <c r="J47" s="26" t="s">
        <v>27</v>
      </c>
      <c r="K47" s="26" t="s">
        <v>24</v>
      </c>
      <c r="L47" s="19" t="s">
        <v>21</v>
      </c>
    </row>
    <row r="48" spans="1:12" x14ac:dyDescent="0.2">
      <c r="A48" s="1" t="s">
        <v>18</v>
      </c>
      <c r="B48" s="50">
        <v>47000</v>
      </c>
      <c r="C48" s="50">
        <v>44000</v>
      </c>
      <c r="D48" s="42">
        <v>45000</v>
      </c>
      <c r="E48" s="25">
        <v>49000</v>
      </c>
      <c r="F48" s="25">
        <v>48400</v>
      </c>
      <c r="G48" s="25">
        <v>47565</v>
      </c>
      <c r="H48" s="25">
        <v>47145</v>
      </c>
      <c r="I48" s="25">
        <v>47430</v>
      </c>
      <c r="J48" s="25">
        <v>45415</v>
      </c>
      <c r="K48" s="25">
        <v>40860</v>
      </c>
      <c r="L48" s="20">
        <v>40200</v>
      </c>
    </row>
    <row r="49" spans="1:12" x14ac:dyDescent="0.2">
      <c r="C49" s="42"/>
      <c r="D49" s="42"/>
    </row>
    <row r="50" spans="1:12" ht="14.25" x14ac:dyDescent="0.2">
      <c r="A50" s="11" t="s">
        <v>70</v>
      </c>
      <c r="C50" s="42"/>
      <c r="D50" s="42"/>
    </row>
    <row r="51" spans="1:12" x14ac:dyDescent="0.2">
      <c r="A51" s="1" t="s">
        <v>6</v>
      </c>
      <c r="B51" s="52">
        <f>+B15+196.5+3.8</f>
        <v>1798.8999999999985</v>
      </c>
      <c r="C51" s="52">
        <f>+C15+227.8</f>
        <v>1623.5000000000007</v>
      </c>
      <c r="D51" s="52">
        <f>+D15+158.7</f>
        <v>2003.8999999999996</v>
      </c>
      <c r="E51" s="52">
        <f>+E15+117.5</f>
        <v>1845.8</v>
      </c>
      <c r="F51" s="52">
        <f>+F15+22.7</f>
        <v>1769.9999999999998</v>
      </c>
      <c r="G51" s="52">
        <f>+G15+105.5</f>
        <v>1975.6999999999998</v>
      </c>
      <c r="H51" s="52">
        <f>+H15+495.4</f>
        <v>2056.6999999999985</v>
      </c>
      <c r="I51" s="52">
        <f>+I15+83.1</f>
        <v>2038.0999999999992</v>
      </c>
      <c r="J51" s="52">
        <f>+J15+214.5</f>
        <v>1775.0999999999997</v>
      </c>
      <c r="K51" s="52">
        <f>+K15+239.6</f>
        <v>1528.9000000000008</v>
      </c>
      <c r="L51" s="52">
        <f>+L15+169.5-13.8</f>
        <v>909.50000000000023</v>
      </c>
    </row>
    <row r="52" spans="1:12" x14ac:dyDescent="0.2">
      <c r="A52" s="1" t="s">
        <v>25</v>
      </c>
      <c r="B52" s="53">
        <f>+B18+266.8+7.3</f>
        <v>1688.2999999999986</v>
      </c>
      <c r="C52" s="53">
        <f>+C18+312</f>
        <v>1473.4000000000008</v>
      </c>
      <c r="D52" s="53">
        <f>+D18+168.4</f>
        <v>1899.8999999999996</v>
      </c>
      <c r="E52" s="53">
        <f>+E18+117.8</f>
        <v>1704.9</v>
      </c>
      <c r="F52" s="53">
        <f>+F18+44.7</f>
        <v>1604.6999999999998</v>
      </c>
      <c r="G52" s="53">
        <f>+G18+105.5</f>
        <v>1754.8999999999999</v>
      </c>
      <c r="H52" s="53">
        <f>+H18+495.4</f>
        <v>1813.0999999999985</v>
      </c>
      <c r="I52" s="53">
        <f>+I18+83.1</f>
        <v>1781.4999999999991</v>
      </c>
      <c r="J52" s="53">
        <f>+J18+217</f>
        <v>1515.2999999999997</v>
      </c>
      <c r="K52" s="53">
        <f>+K18+258.9</f>
        <v>1271.5000000000009</v>
      </c>
      <c r="L52" s="53">
        <f>+L18+171+3.6</f>
        <v>854.20000000000016</v>
      </c>
    </row>
    <row r="53" spans="1:12" x14ac:dyDescent="0.2">
      <c r="A53" s="5" t="s">
        <v>56</v>
      </c>
      <c r="B53" s="53">
        <f>+B22+213.5+5.8+5.6</f>
        <v>1354.7999999999986</v>
      </c>
      <c r="C53" s="53">
        <f>+C22+254.1-55.8</f>
        <v>1165.7000000000007</v>
      </c>
      <c r="D53" s="53">
        <f>+D22+128.3-57.7</f>
        <v>1496.1999999999996</v>
      </c>
      <c r="E53" s="53">
        <f>+E22+88.8+2.1</f>
        <v>1341.2</v>
      </c>
      <c r="F53" s="53">
        <f>+F22+41.7-188.4</f>
        <v>1205.5999999999997</v>
      </c>
      <c r="G53" s="53">
        <f>+G22+62.4+3.9</f>
        <v>1295.3000000000002</v>
      </c>
      <c r="H53" s="53">
        <f>+H22+376.9-63.3</f>
        <v>1315.6999999999987</v>
      </c>
      <c r="I53" s="53">
        <f>+I22+61.5+13.2</f>
        <v>1277.4999999999991</v>
      </c>
      <c r="J53" s="53">
        <f>+J22+156.4-41.7</f>
        <v>1082.4999999999998</v>
      </c>
      <c r="K53" s="53">
        <f>+K22+195-9.2</f>
        <v>889.40000000000077</v>
      </c>
      <c r="L53" s="53">
        <f>+L22+125.6+2.1+7.4</f>
        <v>597.60000000000014</v>
      </c>
    </row>
    <row r="54" spans="1:12" x14ac:dyDescent="0.2">
      <c r="C54" s="42"/>
      <c r="D54" s="42"/>
    </row>
    <row r="55" spans="1:12" x14ac:dyDescent="0.2">
      <c r="C55" s="42"/>
      <c r="D55" s="42"/>
    </row>
    <row r="56" spans="1:12" x14ac:dyDescent="0.2">
      <c r="A56" s="7" t="s">
        <v>20</v>
      </c>
      <c r="B56" s="7"/>
      <c r="C56" s="43"/>
      <c r="D56" s="43"/>
      <c r="E56" s="7"/>
      <c r="F56" s="7"/>
      <c r="G56" s="7"/>
      <c r="H56" s="7"/>
      <c r="I56" s="7"/>
      <c r="J56" s="7"/>
    </row>
    <row r="57" spans="1:12" ht="14.25" x14ac:dyDescent="0.2">
      <c r="A57" s="54" t="s">
        <v>23</v>
      </c>
      <c r="C57" s="44"/>
      <c r="D57" s="44"/>
    </row>
    <row r="58" spans="1:12" ht="14.25" x14ac:dyDescent="0.2">
      <c r="A58" s="54" t="s">
        <v>69</v>
      </c>
      <c r="C58" s="45"/>
      <c r="D58" s="45"/>
    </row>
    <row r="59" spans="1:12" ht="14.25" x14ac:dyDescent="0.2">
      <c r="A59" s="54" t="s">
        <v>30</v>
      </c>
      <c r="C59" s="46"/>
      <c r="D59" s="46"/>
    </row>
    <row r="60" spans="1:12" x14ac:dyDescent="0.2">
      <c r="A60" s="46" t="s">
        <v>31</v>
      </c>
      <c r="C60" s="47"/>
      <c r="D60" s="47"/>
    </row>
    <row r="61" spans="1:12" x14ac:dyDescent="0.2">
      <c r="A61" s="46" t="s">
        <v>34</v>
      </c>
    </row>
    <row r="62" spans="1:12" ht="14.25" x14ac:dyDescent="0.2">
      <c r="A62" s="54" t="s">
        <v>60</v>
      </c>
    </row>
    <row r="63" spans="1:12" ht="14.25" x14ac:dyDescent="0.2">
      <c r="A63" s="54" t="s">
        <v>61</v>
      </c>
    </row>
    <row r="64" spans="1:12" ht="14.25" x14ac:dyDescent="0.2">
      <c r="A64" s="54" t="s">
        <v>52</v>
      </c>
    </row>
    <row r="65" spans="1:6" ht="14.25" x14ac:dyDescent="0.2">
      <c r="A65" s="55" t="s">
        <v>65</v>
      </c>
    </row>
    <row r="66" spans="1:6" ht="14.25" x14ac:dyDescent="0.2">
      <c r="A66" s="55" t="s">
        <v>71</v>
      </c>
      <c r="B66" s="57"/>
      <c r="C66" s="57"/>
      <c r="D66" s="57"/>
      <c r="E66" s="57"/>
      <c r="F66" s="57"/>
    </row>
    <row r="67" spans="1:6" ht="14.25" x14ac:dyDescent="0.2">
      <c r="A67" s="44"/>
    </row>
    <row r="68" spans="1:6" x14ac:dyDescent="0.2">
      <c r="A68" s="55" t="s">
        <v>49</v>
      </c>
    </row>
    <row r="69" spans="1:6" x14ac:dyDescent="0.2">
      <c r="A69" s="46" t="s">
        <v>64</v>
      </c>
    </row>
    <row r="70" spans="1:6" x14ac:dyDescent="0.2">
      <c r="A70" s="46" t="s">
        <v>46</v>
      </c>
    </row>
    <row r="71" spans="1:6" x14ac:dyDescent="0.2">
      <c r="A71" s="46" t="s">
        <v>47</v>
      </c>
    </row>
    <row r="72" spans="1:6" x14ac:dyDescent="0.2">
      <c r="A72" s="46" t="s">
        <v>48</v>
      </c>
    </row>
    <row r="73" spans="1:6" x14ac:dyDescent="0.2">
      <c r="A73" s="56" t="s">
        <v>66</v>
      </c>
    </row>
    <row r="74" spans="1:6" x14ac:dyDescent="0.2">
      <c r="A74" s="47" t="s">
        <v>67</v>
      </c>
    </row>
    <row r="75" spans="1:6" x14ac:dyDescent="0.2">
      <c r="A75" s="55" t="s">
        <v>43</v>
      </c>
    </row>
    <row r="76" spans="1:6" x14ac:dyDescent="0.2">
      <c r="A76" s="55" t="s">
        <v>44</v>
      </c>
    </row>
  </sheetData>
  <phoneticPr fontId="6" type="noConversion"/>
  <pageMargins left="0.25" right="0.25" top="0.75" bottom="0.75" header="0.3" footer="0.3"/>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Statement of Income</vt:lpstr>
      <vt:lpstr>'Statement of Income'!Print_Area</vt:lpstr>
    </vt:vector>
  </TitlesOfParts>
  <Company>Ecolab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Ecolab</dc:creator>
  <cp:lastModifiedBy>Bloch, Kyle</cp:lastModifiedBy>
  <cp:lastPrinted>2019-02-22T17:10:26Z</cp:lastPrinted>
  <dcterms:created xsi:type="dcterms:W3CDTF">2006-02-28T16:04:49Z</dcterms:created>
  <dcterms:modified xsi:type="dcterms:W3CDTF">2022-02-24T22:27:28Z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